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13_ncr:1_{B99324A9-0FFC-439B-B5F4-15BDC41A0BEC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List of Univeristi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73" i="2" l="1"/>
  <c r="C2073" i="2"/>
  <c r="G2073" i="2" s="1"/>
  <c r="H2073" i="2" s="1"/>
  <c r="I2073" i="2" s="1"/>
  <c r="B2073" i="2"/>
  <c r="D2072" i="2"/>
  <c r="C2072" i="2"/>
  <c r="G2072" i="2" s="1"/>
  <c r="H2072" i="2" s="1"/>
  <c r="I2072" i="2" s="1"/>
  <c r="B2072" i="2"/>
  <c r="D2071" i="2"/>
  <c r="C2071" i="2"/>
  <c r="G2071" i="2" s="1"/>
  <c r="H2071" i="2" s="1"/>
  <c r="I2071" i="2" s="1"/>
  <c r="B2071" i="2"/>
  <c r="D2070" i="2"/>
  <c r="C2070" i="2"/>
  <c r="G2070" i="2" s="1"/>
  <c r="H2070" i="2" s="1"/>
  <c r="I2070" i="2" s="1"/>
  <c r="B2070" i="2"/>
  <c r="D2069" i="2"/>
  <c r="C2069" i="2"/>
  <c r="G2069" i="2" s="1"/>
  <c r="H2069" i="2" s="1"/>
  <c r="I2069" i="2" s="1"/>
  <c r="B2069" i="2"/>
  <c r="D2068" i="2"/>
  <c r="C2068" i="2"/>
  <c r="G2068" i="2" s="1"/>
  <c r="H2068" i="2" s="1"/>
  <c r="I2068" i="2" s="1"/>
  <c r="B2068" i="2"/>
  <c r="D2067" i="2"/>
  <c r="C2067" i="2"/>
  <c r="G2067" i="2" s="1"/>
  <c r="H2067" i="2" s="1"/>
  <c r="I2067" i="2" s="1"/>
  <c r="B2067" i="2"/>
  <c r="D2066" i="2"/>
  <c r="C2066" i="2"/>
  <c r="G2066" i="2" s="1"/>
  <c r="H2066" i="2" s="1"/>
  <c r="I2066" i="2" s="1"/>
  <c r="B2066" i="2"/>
  <c r="D2065" i="2"/>
  <c r="C2065" i="2"/>
  <c r="G2065" i="2" s="1"/>
  <c r="H2065" i="2" s="1"/>
  <c r="I2065" i="2" s="1"/>
  <c r="B2065" i="2"/>
  <c r="D2064" i="2"/>
  <c r="C2064" i="2"/>
  <c r="G2064" i="2" s="1"/>
  <c r="H2064" i="2" s="1"/>
  <c r="I2064" i="2" s="1"/>
  <c r="B2064" i="2"/>
  <c r="D2063" i="2"/>
  <c r="C2063" i="2"/>
  <c r="G2063" i="2" s="1"/>
  <c r="H2063" i="2" s="1"/>
  <c r="I2063" i="2" s="1"/>
  <c r="B2063" i="2"/>
  <c r="D2062" i="2"/>
  <c r="C2062" i="2"/>
  <c r="G2062" i="2" s="1"/>
  <c r="H2062" i="2" s="1"/>
  <c r="I2062" i="2" s="1"/>
  <c r="B2062" i="2"/>
  <c r="D2061" i="2"/>
  <c r="C2061" i="2"/>
  <c r="G2061" i="2" s="1"/>
  <c r="H2061" i="2" s="1"/>
  <c r="I2061" i="2" s="1"/>
  <c r="B2061" i="2"/>
  <c r="D2060" i="2"/>
  <c r="C2060" i="2"/>
  <c r="G2060" i="2" s="1"/>
  <c r="H2060" i="2" s="1"/>
  <c r="I2060" i="2" s="1"/>
  <c r="B2060" i="2"/>
  <c r="D2059" i="2"/>
  <c r="C2059" i="2"/>
  <c r="G2059" i="2" s="1"/>
  <c r="H2059" i="2" s="1"/>
  <c r="I2059" i="2" s="1"/>
  <c r="B2059" i="2"/>
  <c r="D2058" i="2"/>
  <c r="C2058" i="2"/>
  <c r="G2058" i="2" s="1"/>
  <c r="H2058" i="2" s="1"/>
  <c r="I2058" i="2" s="1"/>
  <c r="B2058" i="2"/>
  <c r="D2057" i="2"/>
  <c r="C2057" i="2"/>
  <c r="G2057" i="2" s="1"/>
  <c r="H2057" i="2" s="1"/>
  <c r="I2057" i="2" s="1"/>
  <c r="B2057" i="2"/>
  <c r="D2056" i="2"/>
  <c r="C2056" i="2"/>
  <c r="G2056" i="2" s="1"/>
  <c r="H2056" i="2" s="1"/>
  <c r="I2056" i="2" s="1"/>
  <c r="B2056" i="2"/>
  <c r="D2055" i="2"/>
  <c r="C2055" i="2"/>
  <c r="G2055" i="2" s="1"/>
  <c r="H2055" i="2" s="1"/>
  <c r="I2055" i="2" s="1"/>
  <c r="B2055" i="2"/>
  <c r="D2054" i="2"/>
  <c r="C2054" i="2"/>
  <c r="G2054" i="2" s="1"/>
  <c r="H2054" i="2" s="1"/>
  <c r="I2054" i="2" s="1"/>
  <c r="B2054" i="2"/>
  <c r="D2053" i="2"/>
  <c r="C2053" i="2"/>
  <c r="G2053" i="2" s="1"/>
  <c r="H2053" i="2" s="1"/>
  <c r="I2053" i="2" s="1"/>
  <c r="B2053" i="2"/>
  <c r="D2052" i="2"/>
  <c r="C2052" i="2"/>
  <c r="G2052" i="2" s="1"/>
  <c r="H2052" i="2" s="1"/>
  <c r="I2052" i="2" s="1"/>
  <c r="B2052" i="2"/>
  <c r="D2051" i="2"/>
  <c r="C2051" i="2"/>
  <c r="G2051" i="2" s="1"/>
  <c r="H2051" i="2" s="1"/>
  <c r="I2051" i="2" s="1"/>
  <c r="B2051" i="2"/>
  <c r="D2050" i="2"/>
  <c r="C2050" i="2"/>
  <c r="G2050" i="2" s="1"/>
  <c r="H2050" i="2" s="1"/>
  <c r="I2050" i="2" s="1"/>
  <c r="B2050" i="2"/>
  <c r="D2049" i="2"/>
  <c r="C2049" i="2"/>
  <c r="G2049" i="2" s="1"/>
  <c r="H2049" i="2" s="1"/>
  <c r="I2049" i="2" s="1"/>
  <c r="B2049" i="2"/>
  <c r="D2048" i="2"/>
  <c r="C2048" i="2"/>
  <c r="G2048" i="2" s="1"/>
  <c r="H2048" i="2" s="1"/>
  <c r="I2048" i="2" s="1"/>
  <c r="B2048" i="2"/>
  <c r="D2047" i="2"/>
  <c r="C2047" i="2"/>
  <c r="G2047" i="2" s="1"/>
  <c r="H2047" i="2" s="1"/>
  <c r="I2047" i="2" s="1"/>
  <c r="B2047" i="2"/>
  <c r="D2046" i="2"/>
  <c r="C2046" i="2"/>
  <c r="G2046" i="2" s="1"/>
  <c r="H2046" i="2" s="1"/>
  <c r="I2046" i="2" s="1"/>
  <c r="B2046" i="2"/>
  <c r="D2045" i="2"/>
  <c r="C2045" i="2"/>
  <c r="G2045" i="2" s="1"/>
  <c r="H2045" i="2" s="1"/>
  <c r="I2045" i="2" s="1"/>
  <c r="B2045" i="2"/>
  <c r="D2044" i="2"/>
  <c r="C2044" i="2"/>
  <c r="G2044" i="2" s="1"/>
  <c r="H2044" i="2" s="1"/>
  <c r="I2044" i="2" s="1"/>
  <c r="B2044" i="2"/>
  <c r="D2043" i="2"/>
  <c r="C2043" i="2"/>
  <c r="G2043" i="2" s="1"/>
  <c r="H2043" i="2" s="1"/>
  <c r="I2043" i="2" s="1"/>
  <c r="B2043" i="2"/>
  <c r="D2042" i="2"/>
  <c r="C2042" i="2"/>
  <c r="G2042" i="2" s="1"/>
  <c r="H2042" i="2" s="1"/>
  <c r="I2042" i="2" s="1"/>
  <c r="B2042" i="2"/>
  <c r="D2041" i="2"/>
  <c r="C2041" i="2"/>
  <c r="G2041" i="2" s="1"/>
  <c r="H2041" i="2" s="1"/>
  <c r="I2041" i="2" s="1"/>
  <c r="B2041" i="2"/>
  <c r="D2040" i="2"/>
  <c r="C2040" i="2"/>
  <c r="G2040" i="2" s="1"/>
  <c r="H2040" i="2" s="1"/>
  <c r="I2040" i="2" s="1"/>
  <c r="B2040" i="2"/>
  <c r="D2039" i="2"/>
  <c r="C2039" i="2"/>
  <c r="G2039" i="2" s="1"/>
  <c r="H2039" i="2" s="1"/>
  <c r="I2039" i="2" s="1"/>
  <c r="B2039" i="2"/>
  <c r="D2038" i="2"/>
  <c r="C2038" i="2"/>
  <c r="G2038" i="2" s="1"/>
  <c r="H2038" i="2" s="1"/>
  <c r="I2038" i="2" s="1"/>
  <c r="B2038" i="2"/>
  <c r="D2037" i="2"/>
  <c r="C2037" i="2"/>
  <c r="G2037" i="2" s="1"/>
  <c r="H2037" i="2" s="1"/>
  <c r="I2037" i="2" s="1"/>
  <c r="B2037" i="2"/>
  <c r="D2036" i="2"/>
  <c r="C2036" i="2"/>
  <c r="G2036" i="2" s="1"/>
  <c r="H2036" i="2" s="1"/>
  <c r="I2036" i="2" s="1"/>
  <c r="B2036" i="2"/>
  <c r="D2035" i="2"/>
  <c r="C2035" i="2"/>
  <c r="G2035" i="2" s="1"/>
  <c r="H2035" i="2" s="1"/>
  <c r="I2035" i="2" s="1"/>
  <c r="B2035" i="2"/>
  <c r="D2034" i="2"/>
  <c r="C2034" i="2"/>
  <c r="G2034" i="2" s="1"/>
  <c r="H2034" i="2" s="1"/>
  <c r="I2034" i="2" s="1"/>
  <c r="B2034" i="2"/>
  <c r="D2033" i="2"/>
  <c r="C2033" i="2"/>
  <c r="G2033" i="2" s="1"/>
  <c r="H2033" i="2" s="1"/>
  <c r="I2033" i="2" s="1"/>
  <c r="B2033" i="2"/>
  <c r="D2032" i="2"/>
  <c r="C2032" i="2"/>
  <c r="G2032" i="2" s="1"/>
  <c r="H2032" i="2" s="1"/>
  <c r="I2032" i="2" s="1"/>
  <c r="B2032" i="2"/>
  <c r="D2031" i="2"/>
  <c r="C2031" i="2"/>
  <c r="G2031" i="2" s="1"/>
  <c r="H2031" i="2" s="1"/>
  <c r="I2031" i="2" s="1"/>
  <c r="B2031" i="2"/>
  <c r="D2030" i="2"/>
  <c r="C2030" i="2"/>
  <c r="G2030" i="2" s="1"/>
  <c r="H2030" i="2" s="1"/>
  <c r="I2030" i="2" s="1"/>
  <c r="B2030" i="2"/>
  <c r="D2029" i="2"/>
  <c r="C2029" i="2"/>
  <c r="G2029" i="2" s="1"/>
  <c r="H2029" i="2" s="1"/>
  <c r="I2029" i="2" s="1"/>
  <c r="B2029" i="2"/>
  <c r="D2028" i="2"/>
  <c r="C2028" i="2"/>
  <c r="G2028" i="2" s="1"/>
  <c r="H2028" i="2" s="1"/>
  <c r="I2028" i="2" s="1"/>
  <c r="B2028" i="2"/>
  <c r="D2027" i="2"/>
  <c r="C2027" i="2"/>
  <c r="G2027" i="2" s="1"/>
  <c r="H2027" i="2" s="1"/>
  <c r="I2027" i="2" s="1"/>
  <c r="B2027" i="2"/>
  <c r="D2026" i="2"/>
  <c r="C2026" i="2"/>
  <c r="G2026" i="2" s="1"/>
  <c r="H2026" i="2" s="1"/>
  <c r="I2026" i="2" s="1"/>
  <c r="B2026" i="2"/>
  <c r="D2025" i="2"/>
  <c r="C2025" i="2"/>
  <c r="G2025" i="2" s="1"/>
  <c r="H2025" i="2" s="1"/>
  <c r="I2025" i="2" s="1"/>
  <c r="B2025" i="2"/>
  <c r="D2024" i="2"/>
  <c r="C2024" i="2"/>
  <c r="G2024" i="2" s="1"/>
  <c r="H2024" i="2" s="1"/>
  <c r="I2024" i="2" s="1"/>
  <c r="B2024" i="2"/>
  <c r="D2023" i="2"/>
  <c r="C2023" i="2"/>
  <c r="G2023" i="2" s="1"/>
  <c r="H2023" i="2" s="1"/>
  <c r="I2023" i="2" s="1"/>
  <c r="B2023" i="2"/>
  <c r="D2022" i="2"/>
  <c r="C2022" i="2"/>
  <c r="G2022" i="2" s="1"/>
  <c r="H2022" i="2" s="1"/>
  <c r="I2022" i="2" s="1"/>
  <c r="B2022" i="2"/>
  <c r="D2021" i="2"/>
  <c r="C2021" i="2"/>
  <c r="G2021" i="2" s="1"/>
  <c r="H2021" i="2" s="1"/>
  <c r="I2021" i="2" s="1"/>
  <c r="B2021" i="2"/>
  <c r="D2020" i="2"/>
  <c r="C2020" i="2"/>
  <c r="G2020" i="2" s="1"/>
  <c r="H2020" i="2" s="1"/>
  <c r="I2020" i="2" s="1"/>
  <c r="B2020" i="2"/>
  <c r="D2019" i="2"/>
  <c r="C2019" i="2"/>
  <c r="G2019" i="2" s="1"/>
  <c r="H2019" i="2" s="1"/>
  <c r="I2019" i="2" s="1"/>
  <c r="B2019" i="2"/>
  <c r="D2018" i="2"/>
  <c r="C2018" i="2"/>
  <c r="G2018" i="2" s="1"/>
  <c r="H2018" i="2" s="1"/>
  <c r="I2018" i="2" s="1"/>
  <c r="B2018" i="2"/>
  <c r="D2017" i="2"/>
  <c r="C2017" i="2"/>
  <c r="G2017" i="2" s="1"/>
  <c r="H2017" i="2" s="1"/>
  <c r="I2017" i="2" s="1"/>
  <c r="B2017" i="2"/>
  <c r="D2016" i="2"/>
  <c r="C2016" i="2"/>
  <c r="G2016" i="2" s="1"/>
  <c r="H2016" i="2" s="1"/>
  <c r="I2016" i="2" s="1"/>
  <c r="B2016" i="2"/>
  <c r="D2015" i="2"/>
  <c r="C2015" i="2"/>
  <c r="G2015" i="2" s="1"/>
  <c r="H2015" i="2" s="1"/>
  <c r="I2015" i="2" s="1"/>
  <c r="B2015" i="2"/>
  <c r="D2014" i="2"/>
  <c r="C2014" i="2"/>
  <c r="G2014" i="2" s="1"/>
  <c r="H2014" i="2" s="1"/>
  <c r="I2014" i="2" s="1"/>
  <c r="B2014" i="2"/>
  <c r="D2013" i="2"/>
  <c r="C2013" i="2"/>
  <c r="G2013" i="2" s="1"/>
  <c r="H2013" i="2" s="1"/>
  <c r="I2013" i="2" s="1"/>
  <c r="B2013" i="2"/>
  <c r="D2012" i="2"/>
  <c r="C2012" i="2"/>
  <c r="G2012" i="2" s="1"/>
  <c r="H2012" i="2" s="1"/>
  <c r="I2012" i="2" s="1"/>
  <c r="B2012" i="2"/>
  <c r="D2011" i="2"/>
  <c r="C2011" i="2"/>
  <c r="G2011" i="2" s="1"/>
  <c r="H2011" i="2" s="1"/>
  <c r="I2011" i="2" s="1"/>
  <c r="B2011" i="2"/>
  <c r="D2010" i="2"/>
  <c r="C2010" i="2"/>
  <c r="G2010" i="2" s="1"/>
  <c r="H2010" i="2" s="1"/>
  <c r="I2010" i="2" s="1"/>
  <c r="B2010" i="2"/>
  <c r="D2009" i="2"/>
  <c r="C2009" i="2"/>
  <c r="G2009" i="2" s="1"/>
  <c r="H2009" i="2" s="1"/>
  <c r="I2009" i="2" s="1"/>
  <c r="B2009" i="2"/>
  <c r="D2008" i="2"/>
  <c r="C2008" i="2"/>
  <c r="G2008" i="2" s="1"/>
  <c r="H2008" i="2" s="1"/>
  <c r="I2008" i="2" s="1"/>
  <c r="B2008" i="2"/>
  <c r="D2007" i="2"/>
  <c r="C2007" i="2"/>
  <c r="G2007" i="2" s="1"/>
  <c r="H2007" i="2" s="1"/>
  <c r="I2007" i="2" s="1"/>
  <c r="B2007" i="2"/>
  <c r="D2006" i="2"/>
  <c r="C2006" i="2"/>
  <c r="G2006" i="2" s="1"/>
  <c r="H2006" i="2" s="1"/>
  <c r="I2006" i="2" s="1"/>
  <c r="B2006" i="2"/>
  <c r="D2005" i="2"/>
  <c r="C2005" i="2"/>
  <c r="G2005" i="2" s="1"/>
  <c r="H2005" i="2" s="1"/>
  <c r="I2005" i="2" s="1"/>
  <c r="B2005" i="2"/>
  <c r="D2004" i="2"/>
  <c r="C2004" i="2"/>
  <c r="G2004" i="2" s="1"/>
  <c r="H2004" i="2" s="1"/>
  <c r="I2004" i="2" s="1"/>
  <c r="B2004" i="2"/>
  <c r="D2003" i="2"/>
  <c r="C2003" i="2"/>
  <c r="G2003" i="2" s="1"/>
  <c r="H2003" i="2" s="1"/>
  <c r="I2003" i="2" s="1"/>
  <c r="B2003" i="2"/>
  <c r="D2002" i="2"/>
  <c r="C2002" i="2"/>
  <c r="G2002" i="2" s="1"/>
  <c r="H2002" i="2" s="1"/>
  <c r="I2002" i="2" s="1"/>
  <c r="B2002" i="2"/>
  <c r="D2001" i="2"/>
  <c r="C2001" i="2"/>
  <c r="G2001" i="2" s="1"/>
  <c r="H2001" i="2" s="1"/>
  <c r="I2001" i="2" s="1"/>
  <c r="B2001" i="2"/>
  <c r="D2000" i="2"/>
  <c r="C2000" i="2"/>
  <c r="G2000" i="2" s="1"/>
  <c r="H2000" i="2" s="1"/>
  <c r="I2000" i="2" s="1"/>
  <c r="B2000" i="2"/>
  <c r="D1999" i="2"/>
  <c r="C1999" i="2"/>
  <c r="G1999" i="2" s="1"/>
  <c r="H1999" i="2" s="1"/>
  <c r="I1999" i="2" s="1"/>
  <c r="B1999" i="2"/>
  <c r="D1998" i="2"/>
  <c r="C1998" i="2"/>
  <c r="G1998" i="2" s="1"/>
  <c r="H1998" i="2" s="1"/>
  <c r="I1998" i="2" s="1"/>
  <c r="B1998" i="2"/>
  <c r="D1997" i="2"/>
  <c r="C1997" i="2"/>
  <c r="G1997" i="2" s="1"/>
  <c r="H1997" i="2" s="1"/>
  <c r="I1997" i="2" s="1"/>
  <c r="B1997" i="2"/>
  <c r="D1996" i="2"/>
  <c r="C1996" i="2"/>
  <c r="G1996" i="2" s="1"/>
  <c r="H1996" i="2" s="1"/>
  <c r="I1996" i="2" s="1"/>
  <c r="B1996" i="2"/>
  <c r="D1995" i="2"/>
  <c r="C1995" i="2"/>
  <c r="G1995" i="2" s="1"/>
  <c r="H1995" i="2" s="1"/>
  <c r="I1995" i="2" s="1"/>
  <c r="B1995" i="2"/>
  <c r="D1994" i="2"/>
  <c r="C1994" i="2"/>
  <c r="G1994" i="2" s="1"/>
  <c r="H1994" i="2" s="1"/>
  <c r="I1994" i="2" s="1"/>
  <c r="B1994" i="2"/>
  <c r="G1993" i="2"/>
  <c r="H1993" i="2" s="1"/>
  <c r="I1993" i="2" s="1"/>
  <c r="D1993" i="2"/>
  <c r="C1993" i="2"/>
  <c r="B1993" i="2"/>
  <c r="H1992" i="2"/>
  <c r="I1992" i="2" s="1"/>
  <c r="D1992" i="2"/>
  <c r="C1992" i="2"/>
  <c r="G1992" i="2" s="1"/>
  <c r="B1992" i="2"/>
  <c r="G1991" i="2"/>
  <c r="H1991" i="2" s="1"/>
  <c r="I1991" i="2" s="1"/>
  <c r="D1991" i="2"/>
  <c r="C1991" i="2"/>
  <c r="B1991" i="2"/>
  <c r="D1990" i="2"/>
  <c r="C1990" i="2"/>
  <c r="G1990" i="2" s="1"/>
  <c r="H1990" i="2" s="1"/>
  <c r="I1990" i="2" s="1"/>
  <c r="B1990" i="2"/>
  <c r="D1989" i="2"/>
  <c r="C1989" i="2"/>
  <c r="G1989" i="2" s="1"/>
  <c r="H1989" i="2" s="1"/>
  <c r="I1989" i="2" s="1"/>
  <c r="B1989" i="2"/>
  <c r="D1988" i="2"/>
  <c r="C1988" i="2"/>
  <c r="G1988" i="2" s="1"/>
  <c r="H1988" i="2" s="1"/>
  <c r="I1988" i="2" s="1"/>
  <c r="B1988" i="2"/>
  <c r="D1987" i="2"/>
  <c r="C1987" i="2"/>
  <c r="G1987" i="2" s="1"/>
  <c r="H1987" i="2" s="1"/>
  <c r="I1987" i="2" s="1"/>
  <c r="B1987" i="2"/>
  <c r="D1986" i="2"/>
  <c r="C1986" i="2"/>
  <c r="G1986" i="2" s="1"/>
  <c r="H1986" i="2" s="1"/>
  <c r="I1986" i="2" s="1"/>
  <c r="B1986" i="2"/>
  <c r="D1985" i="2"/>
  <c r="C1985" i="2"/>
  <c r="G1985" i="2" s="1"/>
  <c r="H1985" i="2" s="1"/>
  <c r="I1985" i="2" s="1"/>
  <c r="B1985" i="2"/>
  <c r="D1984" i="2"/>
  <c r="C1984" i="2"/>
  <c r="G1984" i="2" s="1"/>
  <c r="H1984" i="2" s="1"/>
  <c r="I1984" i="2" s="1"/>
  <c r="B1984" i="2"/>
  <c r="D1983" i="2"/>
  <c r="C1983" i="2"/>
  <c r="G1983" i="2" s="1"/>
  <c r="H1983" i="2" s="1"/>
  <c r="I1983" i="2" s="1"/>
  <c r="B1983" i="2"/>
  <c r="D1982" i="2"/>
  <c r="C1982" i="2"/>
  <c r="G1982" i="2" s="1"/>
  <c r="H1982" i="2" s="1"/>
  <c r="I1982" i="2" s="1"/>
  <c r="B1982" i="2"/>
  <c r="D1981" i="2"/>
  <c r="C1981" i="2"/>
  <c r="G1981" i="2" s="1"/>
  <c r="H1981" i="2" s="1"/>
  <c r="I1981" i="2" s="1"/>
  <c r="B1981" i="2"/>
  <c r="D1980" i="2"/>
  <c r="C1980" i="2"/>
  <c r="G1980" i="2" s="1"/>
  <c r="H1980" i="2" s="1"/>
  <c r="I1980" i="2" s="1"/>
  <c r="B1980" i="2"/>
  <c r="D1979" i="2"/>
  <c r="C1979" i="2"/>
  <c r="G1979" i="2" s="1"/>
  <c r="H1979" i="2" s="1"/>
  <c r="I1979" i="2" s="1"/>
  <c r="B1979" i="2"/>
  <c r="D1978" i="2"/>
  <c r="C1978" i="2"/>
  <c r="G1978" i="2" s="1"/>
  <c r="H1978" i="2" s="1"/>
  <c r="I1978" i="2" s="1"/>
  <c r="B1978" i="2"/>
  <c r="D1977" i="2"/>
  <c r="C1977" i="2"/>
  <c r="G1977" i="2" s="1"/>
  <c r="H1977" i="2" s="1"/>
  <c r="I1977" i="2" s="1"/>
  <c r="B1977" i="2"/>
  <c r="D1976" i="2"/>
  <c r="C1976" i="2"/>
  <c r="G1976" i="2" s="1"/>
  <c r="H1976" i="2" s="1"/>
  <c r="I1976" i="2" s="1"/>
  <c r="B1976" i="2"/>
  <c r="D1975" i="2"/>
  <c r="C1975" i="2"/>
  <c r="G1975" i="2" s="1"/>
  <c r="H1975" i="2" s="1"/>
  <c r="I1975" i="2" s="1"/>
  <c r="B1975" i="2"/>
  <c r="D1974" i="2"/>
  <c r="C1974" i="2"/>
  <c r="G1974" i="2" s="1"/>
  <c r="H1974" i="2" s="1"/>
  <c r="I1974" i="2" s="1"/>
  <c r="B1974" i="2"/>
  <c r="E1973" i="2"/>
  <c r="D1973" i="2"/>
  <c r="C1973" i="2"/>
  <c r="G1973" i="2" s="1"/>
  <c r="H1973" i="2" s="1"/>
  <c r="I1973" i="2" s="1"/>
  <c r="B1973" i="2"/>
  <c r="E1972" i="2"/>
  <c r="D1972" i="2"/>
  <c r="C1972" i="2"/>
  <c r="G1972" i="2" s="1"/>
  <c r="H1972" i="2" s="1"/>
  <c r="I1972" i="2" s="1"/>
  <c r="B1972" i="2"/>
  <c r="E1971" i="2"/>
  <c r="D1971" i="2"/>
  <c r="C1971" i="2"/>
  <c r="G1971" i="2" s="1"/>
  <c r="H1971" i="2" s="1"/>
  <c r="I1971" i="2" s="1"/>
  <c r="B1971" i="2"/>
  <c r="D1970" i="2"/>
  <c r="C1970" i="2"/>
  <c r="G1970" i="2" s="1"/>
  <c r="H1970" i="2" s="1"/>
  <c r="I1970" i="2" s="1"/>
  <c r="B1970" i="2"/>
  <c r="D1969" i="2"/>
  <c r="C1969" i="2"/>
  <c r="G1969" i="2" s="1"/>
  <c r="H1969" i="2" s="1"/>
  <c r="I1969" i="2" s="1"/>
  <c r="B1969" i="2"/>
  <c r="D1968" i="2"/>
  <c r="C1968" i="2"/>
  <c r="G1968" i="2" s="1"/>
  <c r="H1968" i="2" s="1"/>
  <c r="I1968" i="2" s="1"/>
  <c r="B1968" i="2"/>
  <c r="D1967" i="2"/>
  <c r="C1967" i="2"/>
  <c r="G1967" i="2" s="1"/>
  <c r="H1967" i="2" s="1"/>
  <c r="I1967" i="2" s="1"/>
  <c r="B1967" i="2"/>
  <c r="D1966" i="2"/>
  <c r="C1966" i="2"/>
  <c r="G1966" i="2" s="1"/>
  <c r="H1966" i="2" s="1"/>
  <c r="I1966" i="2" s="1"/>
  <c r="B1966" i="2"/>
  <c r="D1965" i="2"/>
  <c r="C1965" i="2"/>
  <c r="G1965" i="2" s="1"/>
  <c r="H1965" i="2" s="1"/>
  <c r="I1965" i="2" s="1"/>
  <c r="B1965" i="2"/>
  <c r="D1964" i="2"/>
  <c r="C1964" i="2"/>
  <c r="G1964" i="2" s="1"/>
  <c r="H1964" i="2" s="1"/>
  <c r="I1964" i="2" s="1"/>
  <c r="B1964" i="2"/>
  <c r="D1963" i="2"/>
  <c r="C1963" i="2"/>
  <c r="G1963" i="2" s="1"/>
  <c r="H1963" i="2" s="1"/>
  <c r="I1963" i="2" s="1"/>
  <c r="B1963" i="2"/>
  <c r="D1962" i="2"/>
  <c r="C1962" i="2"/>
  <c r="G1962" i="2" s="1"/>
  <c r="H1962" i="2" s="1"/>
  <c r="I1962" i="2" s="1"/>
  <c r="B1962" i="2"/>
  <c r="D1961" i="2"/>
  <c r="C1961" i="2"/>
  <c r="G1961" i="2" s="1"/>
  <c r="H1961" i="2" s="1"/>
  <c r="I1961" i="2" s="1"/>
  <c r="B1961" i="2"/>
  <c r="D1960" i="2"/>
  <c r="C1960" i="2"/>
  <c r="G1960" i="2" s="1"/>
  <c r="H1960" i="2" s="1"/>
  <c r="I1960" i="2" s="1"/>
  <c r="B1960" i="2"/>
  <c r="D1959" i="2"/>
  <c r="C1959" i="2"/>
  <c r="G1959" i="2" s="1"/>
  <c r="H1959" i="2" s="1"/>
  <c r="I1959" i="2" s="1"/>
  <c r="B1959" i="2"/>
  <c r="D1958" i="2"/>
  <c r="C1958" i="2"/>
  <c r="G1958" i="2" s="1"/>
  <c r="H1958" i="2" s="1"/>
  <c r="I1958" i="2" s="1"/>
  <c r="B1958" i="2"/>
  <c r="D1957" i="2"/>
  <c r="C1957" i="2"/>
  <c r="G1957" i="2" s="1"/>
  <c r="H1957" i="2" s="1"/>
  <c r="I1957" i="2" s="1"/>
  <c r="B1957" i="2"/>
  <c r="D1956" i="2"/>
  <c r="C1956" i="2"/>
  <c r="G1956" i="2" s="1"/>
  <c r="H1956" i="2" s="1"/>
  <c r="I1956" i="2" s="1"/>
  <c r="B1956" i="2"/>
  <c r="D1955" i="2"/>
  <c r="C1955" i="2"/>
  <c r="G1955" i="2" s="1"/>
  <c r="H1955" i="2" s="1"/>
  <c r="I1955" i="2" s="1"/>
  <c r="B1955" i="2"/>
  <c r="D1954" i="2"/>
  <c r="C1954" i="2"/>
  <c r="G1954" i="2" s="1"/>
  <c r="H1954" i="2" s="1"/>
  <c r="I1954" i="2" s="1"/>
  <c r="B1954" i="2"/>
  <c r="D1953" i="2"/>
  <c r="C1953" i="2"/>
  <c r="G1953" i="2" s="1"/>
  <c r="H1953" i="2" s="1"/>
  <c r="I1953" i="2" s="1"/>
  <c r="B1953" i="2"/>
  <c r="D1952" i="2"/>
  <c r="C1952" i="2"/>
  <c r="G1952" i="2" s="1"/>
  <c r="H1952" i="2" s="1"/>
  <c r="I1952" i="2" s="1"/>
  <c r="B1952" i="2"/>
  <c r="D1951" i="2"/>
  <c r="C1951" i="2"/>
  <c r="G1951" i="2" s="1"/>
  <c r="H1951" i="2" s="1"/>
  <c r="I1951" i="2" s="1"/>
  <c r="B1951" i="2"/>
  <c r="D1950" i="2"/>
  <c r="C1950" i="2"/>
  <c r="G1950" i="2" s="1"/>
  <c r="H1950" i="2" s="1"/>
  <c r="I1950" i="2" s="1"/>
  <c r="B1950" i="2"/>
  <c r="D1949" i="2"/>
  <c r="C1949" i="2"/>
  <c r="G1949" i="2" s="1"/>
  <c r="H1949" i="2" s="1"/>
  <c r="I1949" i="2" s="1"/>
  <c r="B1949" i="2"/>
  <c r="D1948" i="2"/>
  <c r="C1948" i="2"/>
  <c r="G1948" i="2" s="1"/>
  <c r="H1948" i="2" s="1"/>
  <c r="I1948" i="2" s="1"/>
  <c r="B1948" i="2"/>
  <c r="D1947" i="2"/>
  <c r="C1947" i="2"/>
  <c r="G1947" i="2" s="1"/>
  <c r="H1947" i="2" s="1"/>
  <c r="I1947" i="2" s="1"/>
  <c r="B1947" i="2"/>
  <c r="D1946" i="2"/>
  <c r="C1946" i="2"/>
  <c r="G1946" i="2" s="1"/>
  <c r="H1946" i="2" s="1"/>
  <c r="I1946" i="2" s="1"/>
  <c r="B1946" i="2"/>
  <c r="D1945" i="2"/>
  <c r="C1945" i="2"/>
  <c r="G1945" i="2" s="1"/>
  <c r="H1945" i="2" s="1"/>
  <c r="I1945" i="2" s="1"/>
  <c r="B1945" i="2"/>
  <c r="D1944" i="2"/>
  <c r="C1944" i="2"/>
  <c r="G1944" i="2" s="1"/>
  <c r="H1944" i="2" s="1"/>
  <c r="I1944" i="2" s="1"/>
  <c r="B1944" i="2"/>
  <c r="D1943" i="2"/>
  <c r="C1943" i="2"/>
  <c r="G1943" i="2" s="1"/>
  <c r="H1943" i="2" s="1"/>
  <c r="I1943" i="2" s="1"/>
  <c r="B1943" i="2"/>
  <c r="D1942" i="2"/>
  <c r="C1942" i="2"/>
  <c r="G1942" i="2" s="1"/>
  <c r="H1942" i="2" s="1"/>
  <c r="I1942" i="2" s="1"/>
  <c r="B1942" i="2"/>
  <c r="D1941" i="2"/>
  <c r="C1941" i="2"/>
  <c r="G1941" i="2" s="1"/>
  <c r="H1941" i="2" s="1"/>
  <c r="I1941" i="2" s="1"/>
  <c r="B1941" i="2"/>
  <c r="D1940" i="2"/>
  <c r="C1940" i="2"/>
  <c r="G1940" i="2" s="1"/>
  <c r="H1940" i="2" s="1"/>
  <c r="I1940" i="2" s="1"/>
  <c r="B1940" i="2"/>
  <c r="D1939" i="2"/>
  <c r="C1939" i="2"/>
  <c r="G1939" i="2" s="1"/>
  <c r="H1939" i="2" s="1"/>
  <c r="I1939" i="2" s="1"/>
  <c r="B1939" i="2"/>
  <c r="D1938" i="2"/>
  <c r="C1938" i="2"/>
  <c r="G1938" i="2" s="1"/>
  <c r="H1938" i="2" s="1"/>
  <c r="I1938" i="2" s="1"/>
  <c r="B1938" i="2"/>
  <c r="D1937" i="2"/>
  <c r="C1937" i="2"/>
  <c r="G1937" i="2" s="1"/>
  <c r="H1937" i="2" s="1"/>
  <c r="I1937" i="2" s="1"/>
  <c r="B1937" i="2"/>
  <c r="D1936" i="2"/>
  <c r="C1936" i="2"/>
  <c r="G1936" i="2" s="1"/>
  <c r="H1936" i="2" s="1"/>
  <c r="I1936" i="2" s="1"/>
  <c r="B1936" i="2"/>
  <c r="D1935" i="2"/>
  <c r="C1935" i="2"/>
  <c r="G1935" i="2" s="1"/>
  <c r="H1935" i="2" s="1"/>
  <c r="I1935" i="2" s="1"/>
  <c r="B1935" i="2"/>
  <c r="D1934" i="2"/>
  <c r="C1934" i="2"/>
  <c r="G1934" i="2" s="1"/>
  <c r="H1934" i="2" s="1"/>
  <c r="I1934" i="2" s="1"/>
  <c r="B1934" i="2"/>
  <c r="D1933" i="2"/>
  <c r="C1933" i="2"/>
  <c r="G1933" i="2" s="1"/>
  <c r="H1933" i="2" s="1"/>
  <c r="I1933" i="2" s="1"/>
  <c r="B1933" i="2"/>
  <c r="D1932" i="2"/>
  <c r="C1932" i="2"/>
  <c r="G1932" i="2" s="1"/>
  <c r="H1932" i="2" s="1"/>
  <c r="I1932" i="2" s="1"/>
  <c r="B1932" i="2"/>
  <c r="D1931" i="2"/>
  <c r="C1931" i="2"/>
  <c r="G1931" i="2" s="1"/>
  <c r="H1931" i="2" s="1"/>
  <c r="I1931" i="2" s="1"/>
  <c r="B1931" i="2"/>
  <c r="D1930" i="2"/>
  <c r="C1930" i="2"/>
  <c r="G1930" i="2" s="1"/>
  <c r="H1930" i="2" s="1"/>
  <c r="I1930" i="2" s="1"/>
  <c r="B1930" i="2"/>
  <c r="D1929" i="2"/>
  <c r="C1929" i="2"/>
  <c r="G1929" i="2" s="1"/>
  <c r="H1929" i="2" s="1"/>
  <c r="I1929" i="2" s="1"/>
  <c r="B1929" i="2"/>
  <c r="D1928" i="2"/>
  <c r="C1928" i="2"/>
  <c r="G1928" i="2" s="1"/>
  <c r="H1928" i="2" s="1"/>
  <c r="I1928" i="2" s="1"/>
  <c r="B1928" i="2"/>
  <c r="D1927" i="2"/>
  <c r="C1927" i="2"/>
  <c r="G1927" i="2" s="1"/>
  <c r="H1927" i="2" s="1"/>
  <c r="I1927" i="2" s="1"/>
  <c r="B1927" i="2"/>
  <c r="D1926" i="2"/>
  <c r="C1926" i="2"/>
  <c r="G1926" i="2" s="1"/>
  <c r="H1926" i="2" s="1"/>
  <c r="I1926" i="2" s="1"/>
  <c r="B1926" i="2"/>
  <c r="D1925" i="2"/>
  <c r="C1925" i="2"/>
  <c r="G1925" i="2" s="1"/>
  <c r="H1925" i="2" s="1"/>
  <c r="I1925" i="2" s="1"/>
  <c r="B1925" i="2"/>
  <c r="D1924" i="2"/>
  <c r="C1924" i="2"/>
  <c r="G1924" i="2" s="1"/>
  <c r="H1924" i="2" s="1"/>
  <c r="I1924" i="2" s="1"/>
  <c r="B1924" i="2"/>
  <c r="D1923" i="2"/>
  <c r="C1923" i="2"/>
  <c r="G1923" i="2" s="1"/>
  <c r="H1923" i="2" s="1"/>
  <c r="I1923" i="2" s="1"/>
  <c r="B1923" i="2"/>
  <c r="D1922" i="2"/>
  <c r="C1922" i="2"/>
  <c r="G1922" i="2" s="1"/>
  <c r="H1922" i="2" s="1"/>
  <c r="I1922" i="2" s="1"/>
  <c r="B1922" i="2"/>
  <c r="D1921" i="2"/>
  <c r="C1921" i="2"/>
  <c r="G1921" i="2" s="1"/>
  <c r="H1921" i="2" s="1"/>
  <c r="I1921" i="2" s="1"/>
  <c r="B1921" i="2"/>
  <c r="D1920" i="2"/>
  <c r="C1920" i="2"/>
  <c r="G1920" i="2" s="1"/>
  <c r="H1920" i="2" s="1"/>
  <c r="I1920" i="2" s="1"/>
  <c r="B1920" i="2"/>
  <c r="D1919" i="2"/>
  <c r="C1919" i="2"/>
  <c r="G1919" i="2" s="1"/>
  <c r="H1919" i="2" s="1"/>
  <c r="I1919" i="2" s="1"/>
  <c r="B1919" i="2"/>
  <c r="D1918" i="2"/>
  <c r="C1918" i="2"/>
  <c r="G1918" i="2" s="1"/>
  <c r="H1918" i="2" s="1"/>
  <c r="I1918" i="2" s="1"/>
  <c r="B1918" i="2"/>
  <c r="D1917" i="2"/>
  <c r="C1917" i="2"/>
  <c r="G1917" i="2" s="1"/>
  <c r="H1917" i="2" s="1"/>
  <c r="I1917" i="2" s="1"/>
  <c r="B1917" i="2"/>
  <c r="D1916" i="2"/>
  <c r="C1916" i="2"/>
  <c r="G1916" i="2" s="1"/>
  <c r="H1916" i="2" s="1"/>
  <c r="I1916" i="2" s="1"/>
  <c r="B1916" i="2"/>
  <c r="D1915" i="2"/>
  <c r="C1915" i="2"/>
  <c r="G1915" i="2" s="1"/>
  <c r="H1915" i="2" s="1"/>
  <c r="I1915" i="2" s="1"/>
  <c r="B1915" i="2"/>
  <c r="D1914" i="2"/>
  <c r="C1914" i="2"/>
  <c r="G1914" i="2" s="1"/>
  <c r="H1914" i="2" s="1"/>
  <c r="I1914" i="2" s="1"/>
  <c r="B1914" i="2"/>
  <c r="D1913" i="2"/>
  <c r="C1913" i="2"/>
  <c r="G1913" i="2" s="1"/>
  <c r="H1913" i="2" s="1"/>
  <c r="I1913" i="2" s="1"/>
  <c r="B1913" i="2"/>
  <c r="D1912" i="2"/>
  <c r="C1912" i="2"/>
  <c r="G1912" i="2" s="1"/>
  <c r="H1912" i="2" s="1"/>
  <c r="I1912" i="2" s="1"/>
  <c r="B1912" i="2"/>
  <c r="D1911" i="2"/>
  <c r="C1911" i="2"/>
  <c r="G1911" i="2" s="1"/>
  <c r="H1911" i="2" s="1"/>
  <c r="I1911" i="2" s="1"/>
  <c r="B1911" i="2"/>
  <c r="D1910" i="2"/>
  <c r="C1910" i="2"/>
  <c r="G1910" i="2" s="1"/>
  <c r="H1910" i="2" s="1"/>
  <c r="I1910" i="2" s="1"/>
  <c r="B1910" i="2"/>
  <c r="D1909" i="2"/>
  <c r="C1909" i="2"/>
  <c r="G1909" i="2" s="1"/>
  <c r="H1909" i="2" s="1"/>
  <c r="I1909" i="2" s="1"/>
  <c r="B1909" i="2"/>
  <c r="D1908" i="2"/>
  <c r="C1908" i="2"/>
  <c r="G1908" i="2" s="1"/>
  <c r="H1908" i="2" s="1"/>
  <c r="I1908" i="2" s="1"/>
  <c r="B1908" i="2"/>
  <c r="D1907" i="2"/>
  <c r="C1907" i="2"/>
  <c r="G1907" i="2" s="1"/>
  <c r="H1907" i="2" s="1"/>
  <c r="I1907" i="2" s="1"/>
  <c r="B1907" i="2"/>
  <c r="E1906" i="2"/>
  <c r="D1906" i="2"/>
  <c r="C1906" i="2"/>
  <c r="G1906" i="2" s="1"/>
  <c r="H1906" i="2" s="1"/>
  <c r="I1906" i="2" s="1"/>
  <c r="B1906" i="2"/>
  <c r="D1905" i="2"/>
  <c r="C1905" i="2"/>
  <c r="G1905" i="2" s="1"/>
  <c r="H1905" i="2" s="1"/>
  <c r="I1905" i="2" s="1"/>
  <c r="B1905" i="2"/>
  <c r="E1904" i="2"/>
  <c r="D1904" i="2"/>
  <c r="C1904" i="2"/>
  <c r="G1904" i="2" s="1"/>
  <c r="H1904" i="2" s="1"/>
  <c r="I1904" i="2" s="1"/>
  <c r="B1904" i="2"/>
  <c r="D1903" i="2"/>
  <c r="C1903" i="2"/>
  <c r="G1903" i="2" s="1"/>
  <c r="H1903" i="2" s="1"/>
  <c r="I1903" i="2" s="1"/>
  <c r="B1903" i="2"/>
  <c r="D1902" i="2"/>
  <c r="C1902" i="2"/>
  <c r="G1902" i="2" s="1"/>
  <c r="H1902" i="2" s="1"/>
  <c r="I1902" i="2" s="1"/>
  <c r="B1902" i="2"/>
  <c r="D1901" i="2"/>
  <c r="C1901" i="2"/>
  <c r="G1901" i="2" s="1"/>
  <c r="H1901" i="2" s="1"/>
  <c r="I1901" i="2" s="1"/>
  <c r="B1901" i="2"/>
  <c r="D1900" i="2"/>
  <c r="C1900" i="2"/>
  <c r="G1900" i="2" s="1"/>
  <c r="H1900" i="2" s="1"/>
  <c r="I1900" i="2" s="1"/>
  <c r="B1900" i="2"/>
  <c r="D1899" i="2"/>
  <c r="C1899" i="2"/>
  <c r="G1899" i="2" s="1"/>
  <c r="H1899" i="2" s="1"/>
  <c r="I1899" i="2" s="1"/>
  <c r="B1899" i="2"/>
  <c r="D1898" i="2"/>
  <c r="C1898" i="2"/>
  <c r="G1898" i="2" s="1"/>
  <c r="H1898" i="2" s="1"/>
  <c r="I1898" i="2" s="1"/>
  <c r="B1898" i="2"/>
  <c r="D1897" i="2"/>
  <c r="C1897" i="2"/>
  <c r="G1897" i="2" s="1"/>
  <c r="H1897" i="2" s="1"/>
  <c r="I1897" i="2" s="1"/>
  <c r="B1897" i="2"/>
  <c r="D1896" i="2"/>
  <c r="C1896" i="2"/>
  <c r="G1896" i="2" s="1"/>
  <c r="H1896" i="2" s="1"/>
  <c r="I1896" i="2" s="1"/>
  <c r="B1896" i="2"/>
  <c r="D1895" i="2"/>
  <c r="C1895" i="2"/>
  <c r="G1895" i="2" s="1"/>
  <c r="H1895" i="2" s="1"/>
  <c r="I1895" i="2" s="1"/>
  <c r="B1895" i="2"/>
  <c r="D1894" i="2"/>
  <c r="C1894" i="2"/>
  <c r="G1894" i="2" s="1"/>
  <c r="H1894" i="2" s="1"/>
  <c r="I1894" i="2" s="1"/>
  <c r="B1894" i="2"/>
  <c r="D1893" i="2"/>
  <c r="C1893" i="2"/>
  <c r="G1893" i="2" s="1"/>
  <c r="H1893" i="2" s="1"/>
  <c r="I1893" i="2" s="1"/>
  <c r="B1893" i="2"/>
  <c r="D1892" i="2"/>
  <c r="C1892" i="2"/>
  <c r="G1892" i="2" s="1"/>
  <c r="H1892" i="2" s="1"/>
  <c r="I1892" i="2" s="1"/>
  <c r="B1892" i="2"/>
  <c r="D1891" i="2"/>
  <c r="C1891" i="2"/>
  <c r="G1891" i="2" s="1"/>
  <c r="H1891" i="2" s="1"/>
  <c r="I1891" i="2" s="1"/>
  <c r="B1891" i="2"/>
  <c r="D1890" i="2"/>
  <c r="C1890" i="2"/>
  <c r="G1890" i="2" s="1"/>
  <c r="H1890" i="2" s="1"/>
  <c r="I1890" i="2" s="1"/>
  <c r="B1890" i="2"/>
  <c r="D1889" i="2"/>
  <c r="C1889" i="2"/>
  <c r="G1889" i="2" s="1"/>
  <c r="H1889" i="2" s="1"/>
  <c r="I1889" i="2" s="1"/>
  <c r="B1889" i="2"/>
  <c r="D1888" i="2"/>
  <c r="C1888" i="2"/>
  <c r="G1888" i="2" s="1"/>
  <c r="H1888" i="2" s="1"/>
  <c r="I1888" i="2" s="1"/>
  <c r="B1888" i="2"/>
  <c r="D1887" i="2"/>
  <c r="C1887" i="2"/>
  <c r="G1887" i="2" s="1"/>
  <c r="H1887" i="2" s="1"/>
  <c r="I1887" i="2" s="1"/>
  <c r="B1887" i="2"/>
  <c r="D1886" i="2"/>
  <c r="C1886" i="2"/>
  <c r="G1886" i="2" s="1"/>
  <c r="H1886" i="2" s="1"/>
  <c r="I1886" i="2" s="1"/>
  <c r="B1886" i="2"/>
  <c r="D1885" i="2"/>
  <c r="C1885" i="2"/>
  <c r="G1885" i="2" s="1"/>
  <c r="H1885" i="2" s="1"/>
  <c r="I1885" i="2" s="1"/>
  <c r="B1885" i="2"/>
  <c r="D1884" i="2"/>
  <c r="C1884" i="2"/>
  <c r="G1884" i="2" s="1"/>
  <c r="H1884" i="2" s="1"/>
  <c r="I1884" i="2" s="1"/>
  <c r="B1884" i="2"/>
  <c r="D1883" i="2"/>
  <c r="C1883" i="2"/>
  <c r="G1883" i="2" s="1"/>
  <c r="H1883" i="2" s="1"/>
  <c r="I1883" i="2" s="1"/>
  <c r="B1883" i="2"/>
  <c r="D1882" i="2"/>
  <c r="C1882" i="2"/>
  <c r="G1882" i="2" s="1"/>
  <c r="H1882" i="2" s="1"/>
  <c r="I1882" i="2" s="1"/>
  <c r="B1882" i="2"/>
  <c r="D1881" i="2"/>
  <c r="C1881" i="2"/>
  <c r="G1881" i="2" s="1"/>
  <c r="H1881" i="2" s="1"/>
  <c r="I1881" i="2" s="1"/>
  <c r="B1881" i="2"/>
  <c r="D1880" i="2"/>
  <c r="C1880" i="2"/>
  <c r="G1880" i="2" s="1"/>
  <c r="H1880" i="2" s="1"/>
  <c r="I1880" i="2" s="1"/>
  <c r="B1880" i="2"/>
  <c r="D1879" i="2"/>
  <c r="C1879" i="2"/>
  <c r="G1879" i="2" s="1"/>
  <c r="H1879" i="2" s="1"/>
  <c r="I1879" i="2" s="1"/>
  <c r="B1879" i="2"/>
  <c r="D1878" i="2"/>
  <c r="C1878" i="2"/>
  <c r="G1878" i="2" s="1"/>
  <c r="H1878" i="2" s="1"/>
  <c r="I1878" i="2" s="1"/>
  <c r="B1878" i="2"/>
  <c r="D1877" i="2"/>
  <c r="C1877" i="2"/>
  <c r="G1877" i="2" s="1"/>
  <c r="H1877" i="2" s="1"/>
  <c r="I1877" i="2" s="1"/>
  <c r="B1877" i="2"/>
  <c r="D1876" i="2"/>
  <c r="C1876" i="2"/>
  <c r="G1876" i="2" s="1"/>
  <c r="H1876" i="2" s="1"/>
  <c r="I1876" i="2" s="1"/>
  <c r="B1876" i="2"/>
  <c r="D1875" i="2"/>
  <c r="C1875" i="2"/>
  <c r="G1875" i="2" s="1"/>
  <c r="H1875" i="2" s="1"/>
  <c r="I1875" i="2" s="1"/>
  <c r="B1875" i="2"/>
  <c r="D1874" i="2"/>
  <c r="C1874" i="2"/>
  <c r="G1874" i="2" s="1"/>
  <c r="H1874" i="2" s="1"/>
  <c r="I1874" i="2" s="1"/>
  <c r="B1874" i="2"/>
  <c r="D1873" i="2"/>
  <c r="C1873" i="2"/>
  <c r="G1873" i="2" s="1"/>
  <c r="H1873" i="2" s="1"/>
  <c r="I1873" i="2" s="1"/>
  <c r="B1873" i="2"/>
  <c r="D1872" i="2"/>
  <c r="C1872" i="2"/>
  <c r="G1872" i="2" s="1"/>
  <c r="H1872" i="2" s="1"/>
  <c r="I1872" i="2" s="1"/>
  <c r="B1872" i="2"/>
  <c r="D1871" i="2"/>
  <c r="C1871" i="2"/>
  <c r="G1871" i="2" s="1"/>
  <c r="H1871" i="2" s="1"/>
  <c r="I1871" i="2" s="1"/>
  <c r="B1871" i="2"/>
  <c r="D1870" i="2"/>
  <c r="C1870" i="2"/>
  <c r="G1870" i="2" s="1"/>
  <c r="H1870" i="2" s="1"/>
  <c r="I1870" i="2" s="1"/>
  <c r="B1870" i="2"/>
  <c r="D1869" i="2"/>
  <c r="C1869" i="2"/>
  <c r="G1869" i="2" s="1"/>
  <c r="H1869" i="2" s="1"/>
  <c r="I1869" i="2" s="1"/>
  <c r="B1869" i="2"/>
  <c r="E1868" i="2"/>
  <c r="D1868" i="2"/>
  <c r="C1868" i="2"/>
  <c r="G1868" i="2" s="1"/>
  <c r="H1868" i="2" s="1"/>
  <c r="I1868" i="2" s="1"/>
  <c r="B1868" i="2"/>
  <c r="E1867" i="2"/>
  <c r="D1867" i="2"/>
  <c r="C1867" i="2"/>
  <c r="G1867" i="2" s="1"/>
  <c r="H1867" i="2" s="1"/>
  <c r="I1867" i="2" s="1"/>
  <c r="B1867" i="2"/>
  <c r="D1866" i="2"/>
  <c r="C1866" i="2"/>
  <c r="G1866" i="2" s="1"/>
  <c r="H1866" i="2" s="1"/>
  <c r="I1866" i="2" s="1"/>
  <c r="B1866" i="2"/>
  <c r="D1865" i="2"/>
  <c r="C1865" i="2"/>
  <c r="G1865" i="2" s="1"/>
  <c r="H1865" i="2" s="1"/>
  <c r="I1865" i="2" s="1"/>
  <c r="B1865" i="2"/>
  <c r="D1864" i="2"/>
  <c r="C1864" i="2"/>
  <c r="G1864" i="2" s="1"/>
  <c r="H1864" i="2" s="1"/>
  <c r="I1864" i="2" s="1"/>
  <c r="B1864" i="2"/>
  <c r="D1863" i="2"/>
  <c r="C1863" i="2"/>
  <c r="G1863" i="2" s="1"/>
  <c r="H1863" i="2" s="1"/>
  <c r="I1863" i="2" s="1"/>
  <c r="B1863" i="2"/>
  <c r="D1862" i="2"/>
  <c r="C1862" i="2"/>
  <c r="G1862" i="2" s="1"/>
  <c r="H1862" i="2" s="1"/>
  <c r="I1862" i="2" s="1"/>
  <c r="B1862" i="2"/>
  <c r="D1861" i="2"/>
  <c r="C1861" i="2"/>
  <c r="G1861" i="2" s="1"/>
  <c r="H1861" i="2" s="1"/>
  <c r="I1861" i="2" s="1"/>
  <c r="B1861" i="2"/>
  <c r="D1860" i="2"/>
  <c r="C1860" i="2"/>
  <c r="G1860" i="2" s="1"/>
  <c r="H1860" i="2" s="1"/>
  <c r="I1860" i="2" s="1"/>
  <c r="B1860" i="2"/>
  <c r="D1859" i="2"/>
  <c r="C1859" i="2"/>
  <c r="G1859" i="2" s="1"/>
  <c r="H1859" i="2" s="1"/>
  <c r="I1859" i="2" s="1"/>
  <c r="B1859" i="2"/>
  <c r="D1858" i="2"/>
  <c r="C1858" i="2"/>
  <c r="G1858" i="2" s="1"/>
  <c r="H1858" i="2" s="1"/>
  <c r="I1858" i="2" s="1"/>
  <c r="B1858" i="2"/>
  <c r="D1857" i="2"/>
  <c r="C1857" i="2"/>
  <c r="G1857" i="2" s="1"/>
  <c r="H1857" i="2" s="1"/>
  <c r="I1857" i="2" s="1"/>
  <c r="B1857" i="2"/>
  <c r="D1856" i="2"/>
  <c r="C1856" i="2"/>
  <c r="G1856" i="2" s="1"/>
  <c r="H1856" i="2" s="1"/>
  <c r="I1856" i="2" s="1"/>
  <c r="B1856" i="2"/>
  <c r="D1855" i="2"/>
  <c r="C1855" i="2"/>
  <c r="G1855" i="2" s="1"/>
  <c r="H1855" i="2" s="1"/>
  <c r="I1855" i="2" s="1"/>
  <c r="B1855" i="2"/>
  <c r="D1854" i="2"/>
  <c r="C1854" i="2"/>
  <c r="G1854" i="2" s="1"/>
  <c r="H1854" i="2" s="1"/>
  <c r="I1854" i="2" s="1"/>
  <c r="B1854" i="2"/>
  <c r="D1853" i="2"/>
  <c r="C1853" i="2"/>
  <c r="G1853" i="2" s="1"/>
  <c r="H1853" i="2" s="1"/>
  <c r="I1853" i="2" s="1"/>
  <c r="B1853" i="2"/>
  <c r="D1852" i="2"/>
  <c r="C1852" i="2"/>
  <c r="G1852" i="2" s="1"/>
  <c r="H1852" i="2" s="1"/>
  <c r="I1852" i="2" s="1"/>
  <c r="B1852" i="2"/>
  <c r="D1851" i="2"/>
  <c r="C1851" i="2"/>
  <c r="G1851" i="2" s="1"/>
  <c r="H1851" i="2" s="1"/>
  <c r="I1851" i="2" s="1"/>
  <c r="B1851" i="2"/>
  <c r="D1850" i="2"/>
  <c r="C1850" i="2"/>
  <c r="G1850" i="2" s="1"/>
  <c r="H1850" i="2" s="1"/>
  <c r="I1850" i="2" s="1"/>
  <c r="B1850" i="2"/>
  <c r="D1849" i="2"/>
  <c r="C1849" i="2"/>
  <c r="G1849" i="2" s="1"/>
  <c r="H1849" i="2" s="1"/>
  <c r="I1849" i="2" s="1"/>
  <c r="B1849" i="2"/>
  <c r="D1848" i="2"/>
  <c r="C1848" i="2"/>
  <c r="G1848" i="2" s="1"/>
  <c r="H1848" i="2" s="1"/>
  <c r="I1848" i="2" s="1"/>
  <c r="B1848" i="2"/>
  <c r="D1847" i="2"/>
  <c r="C1847" i="2"/>
  <c r="G1847" i="2" s="1"/>
  <c r="H1847" i="2" s="1"/>
  <c r="I1847" i="2" s="1"/>
  <c r="B1847" i="2"/>
  <c r="D1846" i="2"/>
  <c r="C1846" i="2"/>
  <c r="G1846" i="2" s="1"/>
  <c r="H1846" i="2" s="1"/>
  <c r="I1846" i="2" s="1"/>
  <c r="B1846" i="2"/>
  <c r="D1845" i="2"/>
  <c r="C1845" i="2"/>
  <c r="G1845" i="2" s="1"/>
  <c r="H1845" i="2" s="1"/>
  <c r="I1845" i="2" s="1"/>
  <c r="B1845" i="2"/>
  <c r="D1844" i="2"/>
  <c r="C1844" i="2"/>
  <c r="G1844" i="2" s="1"/>
  <c r="H1844" i="2" s="1"/>
  <c r="I1844" i="2" s="1"/>
  <c r="B1844" i="2"/>
  <c r="D1843" i="2"/>
  <c r="C1843" i="2"/>
  <c r="G1843" i="2" s="1"/>
  <c r="H1843" i="2" s="1"/>
  <c r="I1843" i="2" s="1"/>
  <c r="B1843" i="2"/>
  <c r="G1842" i="2"/>
  <c r="H1842" i="2" s="1"/>
  <c r="I1842" i="2" s="1"/>
  <c r="D1842" i="2"/>
  <c r="C1842" i="2"/>
  <c r="B1842" i="2"/>
  <c r="I1841" i="2"/>
  <c r="D1841" i="2"/>
  <c r="C1841" i="2"/>
  <c r="G1841" i="2" s="1"/>
  <c r="H1841" i="2" s="1"/>
  <c r="B1841" i="2"/>
  <c r="G1840" i="2"/>
  <c r="H1840" i="2" s="1"/>
  <c r="I1840" i="2" s="1"/>
  <c r="D1840" i="2"/>
  <c r="C1840" i="2"/>
  <c r="B1840" i="2"/>
  <c r="D1839" i="2"/>
  <c r="C1839" i="2"/>
  <c r="G1839" i="2" s="1"/>
  <c r="H1839" i="2" s="1"/>
  <c r="I1839" i="2" s="1"/>
  <c r="B1839" i="2"/>
  <c r="D1838" i="2"/>
  <c r="C1838" i="2"/>
  <c r="G1838" i="2" s="1"/>
  <c r="H1838" i="2" s="1"/>
  <c r="I1838" i="2" s="1"/>
  <c r="B1838" i="2"/>
  <c r="D1837" i="2"/>
  <c r="C1837" i="2"/>
  <c r="G1837" i="2" s="1"/>
  <c r="H1837" i="2" s="1"/>
  <c r="I1837" i="2" s="1"/>
  <c r="B1837" i="2"/>
  <c r="D1836" i="2"/>
  <c r="C1836" i="2"/>
  <c r="G1836" i="2" s="1"/>
  <c r="H1836" i="2" s="1"/>
  <c r="I1836" i="2" s="1"/>
  <c r="B1836" i="2"/>
  <c r="D1835" i="2"/>
  <c r="C1835" i="2"/>
  <c r="G1835" i="2" s="1"/>
  <c r="H1835" i="2" s="1"/>
  <c r="I1835" i="2" s="1"/>
  <c r="B1835" i="2"/>
  <c r="D1834" i="2"/>
  <c r="C1834" i="2"/>
  <c r="G1834" i="2" s="1"/>
  <c r="H1834" i="2" s="1"/>
  <c r="I1834" i="2" s="1"/>
  <c r="B1834" i="2"/>
  <c r="D1833" i="2"/>
  <c r="C1833" i="2"/>
  <c r="G1833" i="2" s="1"/>
  <c r="H1833" i="2" s="1"/>
  <c r="I1833" i="2" s="1"/>
  <c r="B1833" i="2"/>
  <c r="D1832" i="2"/>
  <c r="C1832" i="2"/>
  <c r="G1832" i="2" s="1"/>
  <c r="H1832" i="2" s="1"/>
  <c r="I1832" i="2" s="1"/>
  <c r="B1832" i="2"/>
  <c r="D1831" i="2"/>
  <c r="C1831" i="2"/>
  <c r="G1831" i="2" s="1"/>
  <c r="H1831" i="2" s="1"/>
  <c r="I1831" i="2" s="1"/>
  <c r="B1831" i="2"/>
  <c r="D1830" i="2"/>
  <c r="C1830" i="2"/>
  <c r="G1830" i="2" s="1"/>
  <c r="H1830" i="2" s="1"/>
  <c r="I1830" i="2" s="1"/>
  <c r="B1830" i="2"/>
  <c r="D1829" i="2"/>
  <c r="C1829" i="2"/>
  <c r="G1829" i="2" s="1"/>
  <c r="H1829" i="2" s="1"/>
  <c r="I1829" i="2" s="1"/>
  <c r="B1829" i="2"/>
  <c r="D1828" i="2"/>
  <c r="C1828" i="2"/>
  <c r="G1828" i="2" s="1"/>
  <c r="H1828" i="2" s="1"/>
  <c r="I1828" i="2" s="1"/>
  <c r="B1828" i="2"/>
  <c r="D1827" i="2"/>
  <c r="C1827" i="2"/>
  <c r="G1827" i="2" s="1"/>
  <c r="H1827" i="2" s="1"/>
  <c r="I1827" i="2" s="1"/>
  <c r="B1827" i="2"/>
  <c r="D1826" i="2"/>
  <c r="C1826" i="2"/>
  <c r="G1826" i="2" s="1"/>
  <c r="H1826" i="2" s="1"/>
  <c r="I1826" i="2" s="1"/>
  <c r="B1826" i="2"/>
  <c r="D1825" i="2"/>
  <c r="C1825" i="2"/>
  <c r="G1825" i="2" s="1"/>
  <c r="H1825" i="2" s="1"/>
  <c r="I1825" i="2" s="1"/>
  <c r="B1825" i="2"/>
  <c r="D1824" i="2"/>
  <c r="C1824" i="2"/>
  <c r="G1824" i="2" s="1"/>
  <c r="H1824" i="2" s="1"/>
  <c r="I1824" i="2" s="1"/>
  <c r="B1824" i="2"/>
  <c r="D1823" i="2"/>
  <c r="C1823" i="2"/>
  <c r="G1823" i="2" s="1"/>
  <c r="H1823" i="2" s="1"/>
  <c r="I1823" i="2" s="1"/>
  <c r="B1823" i="2"/>
  <c r="D1822" i="2"/>
  <c r="C1822" i="2"/>
  <c r="G1822" i="2" s="1"/>
  <c r="H1822" i="2" s="1"/>
  <c r="I1822" i="2" s="1"/>
  <c r="B1822" i="2"/>
  <c r="D1821" i="2"/>
  <c r="C1821" i="2"/>
  <c r="G1821" i="2" s="1"/>
  <c r="H1821" i="2" s="1"/>
  <c r="I1821" i="2" s="1"/>
  <c r="B1821" i="2"/>
  <c r="D1820" i="2"/>
  <c r="C1820" i="2"/>
  <c r="G1820" i="2" s="1"/>
  <c r="H1820" i="2" s="1"/>
  <c r="I1820" i="2" s="1"/>
  <c r="B1820" i="2"/>
  <c r="D1819" i="2"/>
  <c r="C1819" i="2"/>
  <c r="G1819" i="2" s="1"/>
  <c r="H1819" i="2" s="1"/>
  <c r="I1819" i="2" s="1"/>
  <c r="B1819" i="2"/>
  <c r="D1818" i="2"/>
  <c r="C1818" i="2"/>
  <c r="G1818" i="2" s="1"/>
  <c r="H1818" i="2" s="1"/>
  <c r="I1818" i="2" s="1"/>
  <c r="B1818" i="2"/>
  <c r="D1817" i="2"/>
  <c r="C1817" i="2"/>
  <c r="G1817" i="2" s="1"/>
  <c r="H1817" i="2" s="1"/>
  <c r="I1817" i="2" s="1"/>
  <c r="B1817" i="2"/>
  <c r="D1816" i="2"/>
  <c r="C1816" i="2"/>
  <c r="G1816" i="2" s="1"/>
  <c r="H1816" i="2" s="1"/>
  <c r="I1816" i="2" s="1"/>
  <c r="B1816" i="2"/>
  <c r="D1815" i="2"/>
  <c r="C1815" i="2"/>
  <c r="G1815" i="2" s="1"/>
  <c r="H1815" i="2" s="1"/>
  <c r="I1815" i="2" s="1"/>
  <c r="B1815" i="2"/>
  <c r="D1814" i="2"/>
  <c r="C1814" i="2"/>
  <c r="G1814" i="2" s="1"/>
  <c r="H1814" i="2" s="1"/>
  <c r="I1814" i="2" s="1"/>
  <c r="B1814" i="2"/>
  <c r="D1813" i="2"/>
  <c r="C1813" i="2"/>
  <c r="G1813" i="2" s="1"/>
  <c r="H1813" i="2" s="1"/>
  <c r="I1813" i="2" s="1"/>
  <c r="B1813" i="2"/>
  <c r="D1812" i="2"/>
  <c r="C1812" i="2"/>
  <c r="G1812" i="2" s="1"/>
  <c r="H1812" i="2" s="1"/>
  <c r="I1812" i="2" s="1"/>
  <c r="B1812" i="2"/>
  <c r="D1811" i="2"/>
  <c r="C1811" i="2"/>
  <c r="G1811" i="2" s="1"/>
  <c r="H1811" i="2" s="1"/>
  <c r="I1811" i="2" s="1"/>
  <c r="B1811" i="2"/>
  <c r="D1810" i="2"/>
  <c r="C1810" i="2"/>
  <c r="G1810" i="2" s="1"/>
  <c r="H1810" i="2" s="1"/>
  <c r="I1810" i="2" s="1"/>
  <c r="B1810" i="2"/>
  <c r="D1809" i="2"/>
  <c r="C1809" i="2"/>
  <c r="G1809" i="2" s="1"/>
  <c r="H1809" i="2" s="1"/>
  <c r="I1809" i="2" s="1"/>
  <c r="B1809" i="2"/>
  <c r="D1808" i="2"/>
  <c r="C1808" i="2"/>
  <c r="G1808" i="2" s="1"/>
  <c r="H1808" i="2" s="1"/>
  <c r="I1808" i="2" s="1"/>
  <c r="B1808" i="2"/>
  <c r="D1807" i="2"/>
  <c r="C1807" i="2"/>
  <c r="G1807" i="2" s="1"/>
  <c r="H1807" i="2" s="1"/>
  <c r="I1807" i="2" s="1"/>
  <c r="B1807" i="2"/>
  <c r="D1806" i="2"/>
  <c r="C1806" i="2"/>
  <c r="G1806" i="2" s="1"/>
  <c r="H1806" i="2" s="1"/>
  <c r="I1806" i="2" s="1"/>
  <c r="B1806" i="2"/>
  <c r="G1805" i="2"/>
  <c r="H1805" i="2" s="1"/>
  <c r="I1805" i="2" s="1"/>
  <c r="E1805" i="2"/>
  <c r="D1805" i="2"/>
  <c r="C1805" i="2"/>
  <c r="B1805" i="2"/>
  <c r="D1804" i="2"/>
  <c r="C1804" i="2"/>
  <c r="G1804" i="2" s="1"/>
  <c r="H1804" i="2" s="1"/>
  <c r="I1804" i="2" s="1"/>
  <c r="B1804" i="2"/>
  <c r="D1803" i="2"/>
  <c r="C1803" i="2"/>
  <c r="G1803" i="2" s="1"/>
  <c r="H1803" i="2" s="1"/>
  <c r="I1803" i="2" s="1"/>
  <c r="B1803" i="2"/>
  <c r="D1802" i="2"/>
  <c r="C1802" i="2"/>
  <c r="G1802" i="2" s="1"/>
  <c r="H1802" i="2" s="1"/>
  <c r="I1802" i="2" s="1"/>
  <c r="B1802" i="2"/>
  <c r="D1801" i="2"/>
  <c r="C1801" i="2"/>
  <c r="G1801" i="2" s="1"/>
  <c r="H1801" i="2" s="1"/>
  <c r="I1801" i="2" s="1"/>
  <c r="B1801" i="2"/>
  <c r="D1800" i="2"/>
  <c r="C1800" i="2"/>
  <c r="G1800" i="2" s="1"/>
  <c r="H1800" i="2" s="1"/>
  <c r="I1800" i="2" s="1"/>
  <c r="B1800" i="2"/>
  <c r="D1799" i="2"/>
  <c r="C1799" i="2"/>
  <c r="G1799" i="2" s="1"/>
  <c r="H1799" i="2" s="1"/>
  <c r="I1799" i="2" s="1"/>
  <c r="B1799" i="2"/>
  <c r="D1798" i="2"/>
  <c r="C1798" i="2"/>
  <c r="G1798" i="2" s="1"/>
  <c r="H1798" i="2" s="1"/>
  <c r="I1798" i="2" s="1"/>
  <c r="B1798" i="2"/>
  <c r="D1797" i="2"/>
  <c r="C1797" i="2"/>
  <c r="G1797" i="2" s="1"/>
  <c r="H1797" i="2" s="1"/>
  <c r="I1797" i="2" s="1"/>
  <c r="B1797" i="2"/>
  <c r="D1796" i="2"/>
  <c r="C1796" i="2"/>
  <c r="G1796" i="2" s="1"/>
  <c r="H1796" i="2" s="1"/>
  <c r="I1796" i="2" s="1"/>
  <c r="B1796" i="2"/>
  <c r="D1795" i="2"/>
  <c r="C1795" i="2"/>
  <c r="G1795" i="2" s="1"/>
  <c r="H1795" i="2" s="1"/>
  <c r="I1795" i="2" s="1"/>
  <c r="B1795" i="2"/>
  <c r="D1794" i="2"/>
  <c r="C1794" i="2"/>
  <c r="G1794" i="2" s="1"/>
  <c r="H1794" i="2" s="1"/>
  <c r="I1794" i="2" s="1"/>
  <c r="B1794" i="2"/>
  <c r="D1793" i="2"/>
  <c r="C1793" i="2"/>
  <c r="G1793" i="2" s="1"/>
  <c r="H1793" i="2" s="1"/>
  <c r="I1793" i="2" s="1"/>
  <c r="B1793" i="2"/>
  <c r="D1792" i="2"/>
  <c r="C1792" i="2"/>
  <c r="G1792" i="2" s="1"/>
  <c r="H1792" i="2" s="1"/>
  <c r="I1792" i="2" s="1"/>
  <c r="B1792" i="2"/>
  <c r="D1791" i="2"/>
  <c r="C1791" i="2"/>
  <c r="G1791" i="2" s="1"/>
  <c r="H1791" i="2" s="1"/>
  <c r="I1791" i="2" s="1"/>
  <c r="B1791" i="2"/>
  <c r="D1790" i="2"/>
  <c r="C1790" i="2"/>
  <c r="G1790" i="2" s="1"/>
  <c r="H1790" i="2" s="1"/>
  <c r="I1790" i="2" s="1"/>
  <c r="B1790" i="2"/>
  <c r="D1789" i="2"/>
  <c r="C1789" i="2"/>
  <c r="G1789" i="2" s="1"/>
  <c r="H1789" i="2" s="1"/>
  <c r="I1789" i="2" s="1"/>
  <c r="B1789" i="2"/>
  <c r="D1788" i="2"/>
  <c r="C1788" i="2"/>
  <c r="G1788" i="2" s="1"/>
  <c r="H1788" i="2" s="1"/>
  <c r="I1788" i="2" s="1"/>
  <c r="B1788" i="2"/>
  <c r="D1787" i="2"/>
  <c r="C1787" i="2"/>
  <c r="G1787" i="2" s="1"/>
  <c r="H1787" i="2" s="1"/>
  <c r="I1787" i="2" s="1"/>
  <c r="B1787" i="2"/>
  <c r="D1786" i="2"/>
  <c r="C1786" i="2"/>
  <c r="G1786" i="2" s="1"/>
  <c r="H1786" i="2" s="1"/>
  <c r="I1786" i="2" s="1"/>
  <c r="B1786" i="2"/>
  <c r="D1785" i="2"/>
  <c r="C1785" i="2"/>
  <c r="G1785" i="2" s="1"/>
  <c r="H1785" i="2" s="1"/>
  <c r="I1785" i="2" s="1"/>
  <c r="B1785" i="2"/>
  <c r="D1784" i="2"/>
  <c r="C1784" i="2"/>
  <c r="G1784" i="2" s="1"/>
  <c r="H1784" i="2" s="1"/>
  <c r="I1784" i="2" s="1"/>
  <c r="B1784" i="2"/>
  <c r="D1783" i="2"/>
  <c r="C1783" i="2"/>
  <c r="G1783" i="2" s="1"/>
  <c r="H1783" i="2" s="1"/>
  <c r="I1783" i="2" s="1"/>
  <c r="B1783" i="2"/>
  <c r="D1782" i="2"/>
  <c r="C1782" i="2"/>
  <c r="G1782" i="2" s="1"/>
  <c r="H1782" i="2" s="1"/>
  <c r="I1782" i="2" s="1"/>
  <c r="B1782" i="2"/>
  <c r="D1781" i="2"/>
  <c r="C1781" i="2"/>
  <c r="G1781" i="2" s="1"/>
  <c r="H1781" i="2" s="1"/>
  <c r="I1781" i="2" s="1"/>
  <c r="B1781" i="2"/>
  <c r="D1780" i="2"/>
  <c r="C1780" i="2"/>
  <c r="G1780" i="2" s="1"/>
  <c r="H1780" i="2" s="1"/>
  <c r="I1780" i="2" s="1"/>
  <c r="B1780" i="2"/>
  <c r="D1779" i="2"/>
  <c r="C1779" i="2"/>
  <c r="G1779" i="2" s="1"/>
  <c r="H1779" i="2" s="1"/>
  <c r="I1779" i="2" s="1"/>
  <c r="B1779" i="2"/>
  <c r="D1778" i="2"/>
  <c r="C1778" i="2"/>
  <c r="G1778" i="2" s="1"/>
  <c r="H1778" i="2" s="1"/>
  <c r="I1778" i="2" s="1"/>
  <c r="B1778" i="2"/>
  <c r="D1777" i="2"/>
  <c r="C1777" i="2"/>
  <c r="G1777" i="2" s="1"/>
  <c r="H1777" i="2" s="1"/>
  <c r="I1777" i="2" s="1"/>
  <c r="B1777" i="2"/>
  <c r="D1776" i="2"/>
  <c r="C1776" i="2"/>
  <c r="G1776" i="2" s="1"/>
  <c r="H1776" i="2" s="1"/>
  <c r="I1776" i="2" s="1"/>
  <c r="B1776" i="2"/>
  <c r="D1775" i="2"/>
  <c r="C1775" i="2"/>
  <c r="G1775" i="2" s="1"/>
  <c r="H1775" i="2" s="1"/>
  <c r="I1775" i="2" s="1"/>
  <c r="B1775" i="2"/>
  <c r="D1774" i="2"/>
  <c r="C1774" i="2"/>
  <c r="G1774" i="2" s="1"/>
  <c r="H1774" i="2" s="1"/>
  <c r="I1774" i="2" s="1"/>
  <c r="B1774" i="2"/>
  <c r="D1773" i="2"/>
  <c r="C1773" i="2"/>
  <c r="G1773" i="2" s="1"/>
  <c r="H1773" i="2" s="1"/>
  <c r="I1773" i="2" s="1"/>
  <c r="B1773" i="2"/>
  <c r="D1772" i="2"/>
  <c r="C1772" i="2"/>
  <c r="G1772" i="2" s="1"/>
  <c r="H1772" i="2" s="1"/>
  <c r="I1772" i="2" s="1"/>
  <c r="B1772" i="2"/>
  <c r="D1771" i="2"/>
  <c r="C1771" i="2"/>
  <c r="G1771" i="2" s="1"/>
  <c r="H1771" i="2" s="1"/>
  <c r="I1771" i="2" s="1"/>
  <c r="B1771" i="2"/>
  <c r="D1770" i="2"/>
  <c r="C1770" i="2"/>
  <c r="G1770" i="2" s="1"/>
  <c r="H1770" i="2" s="1"/>
  <c r="I1770" i="2" s="1"/>
  <c r="B1770" i="2"/>
  <c r="D1769" i="2"/>
  <c r="C1769" i="2"/>
  <c r="G1769" i="2" s="1"/>
  <c r="H1769" i="2" s="1"/>
  <c r="I1769" i="2" s="1"/>
  <c r="B1769" i="2"/>
  <c r="D1768" i="2"/>
  <c r="C1768" i="2"/>
  <c r="G1768" i="2" s="1"/>
  <c r="H1768" i="2" s="1"/>
  <c r="I1768" i="2" s="1"/>
  <c r="B1768" i="2"/>
  <c r="D1767" i="2"/>
  <c r="C1767" i="2"/>
  <c r="G1767" i="2" s="1"/>
  <c r="H1767" i="2" s="1"/>
  <c r="I1767" i="2" s="1"/>
  <c r="B1767" i="2"/>
  <c r="D1766" i="2"/>
  <c r="C1766" i="2"/>
  <c r="G1766" i="2" s="1"/>
  <c r="H1766" i="2" s="1"/>
  <c r="I1766" i="2" s="1"/>
  <c r="B1766" i="2"/>
  <c r="D1765" i="2"/>
  <c r="C1765" i="2"/>
  <c r="G1765" i="2" s="1"/>
  <c r="H1765" i="2" s="1"/>
  <c r="I1765" i="2" s="1"/>
  <c r="B1765" i="2"/>
  <c r="D1764" i="2"/>
  <c r="C1764" i="2"/>
  <c r="G1764" i="2" s="1"/>
  <c r="H1764" i="2" s="1"/>
  <c r="I1764" i="2" s="1"/>
  <c r="B1764" i="2"/>
  <c r="D1763" i="2"/>
  <c r="C1763" i="2"/>
  <c r="G1763" i="2" s="1"/>
  <c r="H1763" i="2" s="1"/>
  <c r="I1763" i="2" s="1"/>
  <c r="B1763" i="2"/>
  <c r="D1762" i="2"/>
  <c r="C1762" i="2"/>
  <c r="G1762" i="2" s="1"/>
  <c r="H1762" i="2" s="1"/>
  <c r="I1762" i="2" s="1"/>
  <c r="B1762" i="2"/>
  <c r="D1761" i="2"/>
  <c r="C1761" i="2"/>
  <c r="G1761" i="2" s="1"/>
  <c r="H1761" i="2" s="1"/>
  <c r="I1761" i="2" s="1"/>
  <c r="B1761" i="2"/>
  <c r="E1760" i="2"/>
  <c r="D1760" i="2"/>
  <c r="C1760" i="2"/>
  <c r="G1760" i="2" s="1"/>
  <c r="H1760" i="2" s="1"/>
  <c r="I1760" i="2" s="1"/>
  <c r="B1760" i="2"/>
  <c r="E1759" i="2"/>
  <c r="D1759" i="2"/>
  <c r="C1759" i="2"/>
  <c r="G1759" i="2" s="1"/>
  <c r="H1759" i="2" s="1"/>
  <c r="I1759" i="2" s="1"/>
  <c r="B1759" i="2"/>
  <c r="E1758" i="2"/>
  <c r="D1758" i="2"/>
  <c r="C1758" i="2"/>
  <c r="G1758" i="2" s="1"/>
  <c r="H1758" i="2" s="1"/>
  <c r="I1758" i="2" s="1"/>
  <c r="B1758" i="2"/>
  <c r="E1757" i="2"/>
  <c r="D1757" i="2"/>
  <c r="C1757" i="2"/>
  <c r="G1757" i="2" s="1"/>
  <c r="H1757" i="2" s="1"/>
  <c r="I1757" i="2" s="1"/>
  <c r="B1757" i="2"/>
  <c r="E1756" i="2"/>
  <c r="D1756" i="2"/>
  <c r="C1756" i="2"/>
  <c r="G1756" i="2" s="1"/>
  <c r="H1756" i="2" s="1"/>
  <c r="I1756" i="2" s="1"/>
  <c r="B1756" i="2"/>
  <c r="E1755" i="2"/>
  <c r="D1755" i="2"/>
  <c r="C1755" i="2"/>
  <c r="G1755" i="2" s="1"/>
  <c r="H1755" i="2" s="1"/>
  <c r="I1755" i="2" s="1"/>
  <c r="B1755" i="2"/>
  <c r="D1754" i="2"/>
  <c r="C1754" i="2"/>
  <c r="G1754" i="2" s="1"/>
  <c r="H1754" i="2" s="1"/>
  <c r="I1754" i="2" s="1"/>
  <c r="B1754" i="2"/>
  <c r="D1753" i="2"/>
  <c r="C1753" i="2"/>
  <c r="G1753" i="2" s="1"/>
  <c r="H1753" i="2" s="1"/>
  <c r="I1753" i="2" s="1"/>
  <c r="B1753" i="2"/>
  <c r="D1752" i="2"/>
  <c r="C1752" i="2"/>
  <c r="G1752" i="2" s="1"/>
  <c r="H1752" i="2" s="1"/>
  <c r="I1752" i="2" s="1"/>
  <c r="B1752" i="2"/>
  <c r="D1751" i="2"/>
  <c r="C1751" i="2"/>
  <c r="G1751" i="2" s="1"/>
  <c r="H1751" i="2" s="1"/>
  <c r="I1751" i="2" s="1"/>
  <c r="B1751" i="2"/>
  <c r="D1750" i="2"/>
  <c r="C1750" i="2"/>
  <c r="G1750" i="2" s="1"/>
  <c r="H1750" i="2" s="1"/>
  <c r="I1750" i="2" s="1"/>
  <c r="B1750" i="2"/>
  <c r="D1749" i="2"/>
  <c r="C1749" i="2"/>
  <c r="G1749" i="2" s="1"/>
  <c r="H1749" i="2" s="1"/>
  <c r="I1749" i="2" s="1"/>
  <c r="B1749" i="2"/>
  <c r="D1748" i="2"/>
  <c r="C1748" i="2"/>
  <c r="G1748" i="2" s="1"/>
  <c r="H1748" i="2" s="1"/>
  <c r="I1748" i="2" s="1"/>
  <c r="B1748" i="2"/>
  <c r="D1747" i="2"/>
  <c r="C1747" i="2"/>
  <c r="G1747" i="2" s="1"/>
  <c r="H1747" i="2" s="1"/>
  <c r="I1747" i="2" s="1"/>
  <c r="B1747" i="2"/>
  <c r="D1746" i="2"/>
  <c r="C1746" i="2"/>
  <c r="G1746" i="2" s="1"/>
  <c r="H1746" i="2" s="1"/>
  <c r="I1746" i="2" s="1"/>
  <c r="B1746" i="2"/>
  <c r="D1745" i="2"/>
  <c r="C1745" i="2"/>
  <c r="G1745" i="2" s="1"/>
  <c r="H1745" i="2" s="1"/>
  <c r="I1745" i="2" s="1"/>
  <c r="B1745" i="2"/>
  <c r="D1744" i="2"/>
  <c r="C1744" i="2"/>
  <c r="G1744" i="2" s="1"/>
  <c r="H1744" i="2" s="1"/>
  <c r="I1744" i="2" s="1"/>
  <c r="B1744" i="2"/>
  <c r="D1743" i="2"/>
  <c r="C1743" i="2"/>
  <c r="G1743" i="2" s="1"/>
  <c r="H1743" i="2" s="1"/>
  <c r="I1743" i="2" s="1"/>
  <c r="B1743" i="2"/>
  <c r="D1742" i="2"/>
  <c r="C1742" i="2"/>
  <c r="G1742" i="2" s="1"/>
  <c r="H1742" i="2" s="1"/>
  <c r="I1742" i="2" s="1"/>
  <c r="B1742" i="2"/>
  <c r="E1741" i="2"/>
  <c r="D1741" i="2"/>
  <c r="C1741" i="2"/>
  <c r="G1741" i="2" s="1"/>
  <c r="H1741" i="2" s="1"/>
  <c r="I1741" i="2" s="1"/>
  <c r="B1741" i="2"/>
  <c r="E1740" i="2"/>
  <c r="D1740" i="2"/>
  <c r="C1740" i="2"/>
  <c r="G1740" i="2" s="1"/>
  <c r="H1740" i="2" s="1"/>
  <c r="I1740" i="2" s="1"/>
  <c r="B1740" i="2"/>
  <c r="E1739" i="2"/>
  <c r="D1739" i="2"/>
  <c r="C1739" i="2"/>
  <c r="G1739" i="2" s="1"/>
  <c r="H1739" i="2" s="1"/>
  <c r="I1739" i="2" s="1"/>
  <c r="B1739" i="2"/>
  <c r="D1738" i="2"/>
  <c r="C1738" i="2"/>
  <c r="G1738" i="2" s="1"/>
  <c r="H1738" i="2" s="1"/>
  <c r="I1738" i="2" s="1"/>
  <c r="B1738" i="2"/>
  <c r="D1737" i="2"/>
  <c r="C1737" i="2"/>
  <c r="G1737" i="2" s="1"/>
  <c r="H1737" i="2" s="1"/>
  <c r="I1737" i="2" s="1"/>
  <c r="B1737" i="2"/>
  <c r="D1736" i="2"/>
  <c r="C1736" i="2"/>
  <c r="G1736" i="2" s="1"/>
  <c r="H1736" i="2" s="1"/>
  <c r="I1736" i="2" s="1"/>
  <c r="B1736" i="2"/>
  <c r="D1735" i="2"/>
  <c r="C1735" i="2"/>
  <c r="G1735" i="2" s="1"/>
  <c r="H1735" i="2" s="1"/>
  <c r="I1735" i="2" s="1"/>
  <c r="B1735" i="2"/>
  <c r="D1734" i="2"/>
  <c r="C1734" i="2"/>
  <c r="G1734" i="2" s="1"/>
  <c r="H1734" i="2" s="1"/>
  <c r="I1734" i="2" s="1"/>
  <c r="B1734" i="2"/>
  <c r="D1733" i="2"/>
  <c r="C1733" i="2"/>
  <c r="G1733" i="2" s="1"/>
  <c r="H1733" i="2" s="1"/>
  <c r="I1733" i="2" s="1"/>
  <c r="B1733" i="2"/>
  <c r="D1732" i="2"/>
  <c r="C1732" i="2"/>
  <c r="G1732" i="2" s="1"/>
  <c r="H1732" i="2" s="1"/>
  <c r="I1732" i="2" s="1"/>
  <c r="B1732" i="2"/>
  <c r="D1731" i="2"/>
  <c r="C1731" i="2"/>
  <c r="G1731" i="2" s="1"/>
  <c r="H1731" i="2" s="1"/>
  <c r="I1731" i="2" s="1"/>
  <c r="B1731" i="2"/>
  <c r="D1730" i="2"/>
  <c r="C1730" i="2"/>
  <c r="G1730" i="2" s="1"/>
  <c r="H1730" i="2" s="1"/>
  <c r="I1730" i="2" s="1"/>
  <c r="B1730" i="2"/>
  <c r="D1729" i="2"/>
  <c r="C1729" i="2"/>
  <c r="G1729" i="2" s="1"/>
  <c r="H1729" i="2" s="1"/>
  <c r="I1729" i="2" s="1"/>
  <c r="B1729" i="2"/>
  <c r="D1728" i="2"/>
  <c r="C1728" i="2"/>
  <c r="G1728" i="2" s="1"/>
  <c r="H1728" i="2" s="1"/>
  <c r="I1728" i="2" s="1"/>
  <c r="B1728" i="2"/>
  <c r="D1727" i="2"/>
  <c r="C1727" i="2"/>
  <c r="G1727" i="2" s="1"/>
  <c r="H1727" i="2" s="1"/>
  <c r="I1727" i="2" s="1"/>
  <c r="B1727" i="2"/>
  <c r="D1726" i="2"/>
  <c r="C1726" i="2"/>
  <c r="G1726" i="2" s="1"/>
  <c r="H1726" i="2" s="1"/>
  <c r="I1726" i="2" s="1"/>
  <c r="B1726" i="2"/>
  <c r="D1725" i="2"/>
  <c r="C1725" i="2"/>
  <c r="G1725" i="2" s="1"/>
  <c r="H1725" i="2" s="1"/>
  <c r="I1725" i="2" s="1"/>
  <c r="B1725" i="2"/>
  <c r="D1724" i="2"/>
  <c r="C1724" i="2"/>
  <c r="G1724" i="2" s="1"/>
  <c r="H1724" i="2" s="1"/>
  <c r="I1724" i="2" s="1"/>
  <c r="B1724" i="2"/>
  <c r="D1723" i="2"/>
  <c r="C1723" i="2"/>
  <c r="G1723" i="2" s="1"/>
  <c r="H1723" i="2" s="1"/>
  <c r="I1723" i="2" s="1"/>
  <c r="B1723" i="2"/>
  <c r="D1722" i="2"/>
  <c r="C1722" i="2"/>
  <c r="G1722" i="2" s="1"/>
  <c r="H1722" i="2" s="1"/>
  <c r="I1722" i="2" s="1"/>
  <c r="B1722" i="2"/>
  <c r="D1721" i="2"/>
  <c r="C1721" i="2"/>
  <c r="G1721" i="2" s="1"/>
  <c r="H1721" i="2" s="1"/>
  <c r="I1721" i="2" s="1"/>
  <c r="B1721" i="2"/>
  <c r="D1720" i="2"/>
  <c r="C1720" i="2"/>
  <c r="G1720" i="2" s="1"/>
  <c r="H1720" i="2" s="1"/>
  <c r="I1720" i="2" s="1"/>
  <c r="B1720" i="2"/>
  <c r="D1719" i="2"/>
  <c r="C1719" i="2"/>
  <c r="G1719" i="2" s="1"/>
  <c r="H1719" i="2" s="1"/>
  <c r="I1719" i="2" s="1"/>
  <c r="B1719" i="2"/>
  <c r="D1718" i="2"/>
  <c r="C1718" i="2"/>
  <c r="G1718" i="2" s="1"/>
  <c r="H1718" i="2" s="1"/>
  <c r="I1718" i="2" s="1"/>
  <c r="B1718" i="2"/>
  <c r="D1717" i="2"/>
  <c r="C1717" i="2"/>
  <c r="G1717" i="2" s="1"/>
  <c r="H1717" i="2" s="1"/>
  <c r="I1717" i="2" s="1"/>
  <c r="B1717" i="2"/>
  <c r="D1716" i="2"/>
  <c r="C1716" i="2"/>
  <c r="G1716" i="2" s="1"/>
  <c r="H1716" i="2" s="1"/>
  <c r="I1716" i="2" s="1"/>
  <c r="B1716" i="2"/>
  <c r="D1715" i="2"/>
  <c r="C1715" i="2"/>
  <c r="G1715" i="2" s="1"/>
  <c r="H1715" i="2" s="1"/>
  <c r="I1715" i="2" s="1"/>
  <c r="B1715" i="2"/>
  <c r="D1714" i="2"/>
  <c r="C1714" i="2"/>
  <c r="G1714" i="2" s="1"/>
  <c r="H1714" i="2" s="1"/>
  <c r="I1714" i="2" s="1"/>
  <c r="B1714" i="2"/>
  <c r="D1713" i="2"/>
  <c r="C1713" i="2"/>
  <c r="G1713" i="2" s="1"/>
  <c r="H1713" i="2" s="1"/>
  <c r="I1713" i="2" s="1"/>
  <c r="B1713" i="2"/>
  <c r="D1712" i="2"/>
  <c r="C1712" i="2"/>
  <c r="G1712" i="2" s="1"/>
  <c r="H1712" i="2" s="1"/>
  <c r="I1712" i="2" s="1"/>
  <c r="B1712" i="2"/>
  <c r="D1711" i="2"/>
  <c r="C1711" i="2"/>
  <c r="G1711" i="2" s="1"/>
  <c r="H1711" i="2" s="1"/>
  <c r="I1711" i="2" s="1"/>
  <c r="B1711" i="2"/>
  <c r="D1710" i="2"/>
  <c r="C1710" i="2"/>
  <c r="G1710" i="2" s="1"/>
  <c r="H1710" i="2" s="1"/>
  <c r="I1710" i="2" s="1"/>
  <c r="B1710" i="2"/>
  <c r="D1709" i="2"/>
  <c r="C1709" i="2"/>
  <c r="G1709" i="2" s="1"/>
  <c r="H1709" i="2" s="1"/>
  <c r="I1709" i="2" s="1"/>
  <c r="B1709" i="2"/>
  <c r="D1708" i="2"/>
  <c r="C1708" i="2"/>
  <c r="G1708" i="2" s="1"/>
  <c r="H1708" i="2" s="1"/>
  <c r="I1708" i="2" s="1"/>
  <c r="B1708" i="2"/>
  <c r="D1707" i="2"/>
  <c r="C1707" i="2"/>
  <c r="G1707" i="2" s="1"/>
  <c r="H1707" i="2" s="1"/>
  <c r="I1707" i="2" s="1"/>
  <c r="B1707" i="2"/>
  <c r="D1706" i="2"/>
  <c r="C1706" i="2"/>
  <c r="G1706" i="2" s="1"/>
  <c r="H1706" i="2" s="1"/>
  <c r="I1706" i="2" s="1"/>
  <c r="B1706" i="2"/>
  <c r="D1705" i="2"/>
  <c r="C1705" i="2"/>
  <c r="G1705" i="2" s="1"/>
  <c r="H1705" i="2" s="1"/>
  <c r="I1705" i="2" s="1"/>
  <c r="B1705" i="2"/>
  <c r="D1704" i="2"/>
  <c r="C1704" i="2"/>
  <c r="G1704" i="2" s="1"/>
  <c r="H1704" i="2" s="1"/>
  <c r="I1704" i="2" s="1"/>
  <c r="B1704" i="2"/>
  <c r="D1703" i="2"/>
  <c r="C1703" i="2"/>
  <c r="G1703" i="2" s="1"/>
  <c r="H1703" i="2" s="1"/>
  <c r="I1703" i="2" s="1"/>
  <c r="B1703" i="2"/>
  <c r="D1702" i="2"/>
  <c r="C1702" i="2"/>
  <c r="G1702" i="2" s="1"/>
  <c r="H1702" i="2" s="1"/>
  <c r="I1702" i="2" s="1"/>
  <c r="B1702" i="2"/>
  <c r="D1701" i="2"/>
  <c r="C1701" i="2"/>
  <c r="G1701" i="2" s="1"/>
  <c r="H1701" i="2" s="1"/>
  <c r="I1701" i="2" s="1"/>
  <c r="B1701" i="2"/>
  <c r="E1700" i="2"/>
  <c r="D1700" i="2"/>
  <c r="C1700" i="2"/>
  <c r="G1700" i="2" s="1"/>
  <c r="H1700" i="2" s="1"/>
  <c r="I1700" i="2" s="1"/>
  <c r="B1700" i="2"/>
  <c r="E1699" i="2"/>
  <c r="D1699" i="2"/>
  <c r="C1699" i="2"/>
  <c r="G1699" i="2" s="1"/>
  <c r="H1699" i="2" s="1"/>
  <c r="I1699" i="2" s="1"/>
  <c r="B1699" i="2"/>
  <c r="E1698" i="2"/>
  <c r="D1698" i="2"/>
  <c r="C1698" i="2"/>
  <c r="G1698" i="2" s="1"/>
  <c r="H1698" i="2" s="1"/>
  <c r="I1698" i="2" s="1"/>
  <c r="B1698" i="2"/>
  <c r="E1697" i="2"/>
  <c r="D1697" i="2"/>
  <c r="C1697" i="2"/>
  <c r="G1697" i="2" s="1"/>
  <c r="H1697" i="2" s="1"/>
  <c r="I1697" i="2" s="1"/>
  <c r="B1697" i="2"/>
  <c r="E1696" i="2"/>
  <c r="D1696" i="2"/>
  <c r="C1696" i="2"/>
  <c r="G1696" i="2" s="1"/>
  <c r="H1696" i="2" s="1"/>
  <c r="I1696" i="2" s="1"/>
  <c r="B1696" i="2"/>
  <c r="E1695" i="2"/>
  <c r="D1695" i="2"/>
  <c r="C1695" i="2"/>
  <c r="G1695" i="2" s="1"/>
  <c r="H1695" i="2" s="1"/>
  <c r="I1695" i="2" s="1"/>
  <c r="B1695" i="2"/>
  <c r="E1694" i="2"/>
  <c r="D1694" i="2"/>
  <c r="C1694" i="2"/>
  <c r="G1694" i="2" s="1"/>
  <c r="H1694" i="2" s="1"/>
  <c r="I1694" i="2" s="1"/>
  <c r="B1694" i="2"/>
  <c r="E1693" i="2"/>
  <c r="D1693" i="2"/>
  <c r="C1693" i="2"/>
  <c r="G1693" i="2" s="1"/>
  <c r="H1693" i="2" s="1"/>
  <c r="I1693" i="2" s="1"/>
  <c r="B1693" i="2"/>
  <c r="E1692" i="2"/>
  <c r="D1692" i="2"/>
  <c r="C1692" i="2"/>
  <c r="G1692" i="2" s="1"/>
  <c r="H1692" i="2" s="1"/>
  <c r="I1692" i="2" s="1"/>
  <c r="B1692" i="2"/>
  <c r="E1691" i="2"/>
  <c r="D1691" i="2"/>
  <c r="C1691" i="2"/>
  <c r="G1691" i="2" s="1"/>
  <c r="H1691" i="2" s="1"/>
  <c r="I1691" i="2" s="1"/>
  <c r="B1691" i="2"/>
  <c r="E1690" i="2"/>
  <c r="D1690" i="2"/>
  <c r="C1690" i="2"/>
  <c r="G1690" i="2" s="1"/>
  <c r="H1690" i="2" s="1"/>
  <c r="I1690" i="2" s="1"/>
  <c r="B1690" i="2"/>
  <c r="E1689" i="2"/>
  <c r="D1689" i="2"/>
  <c r="C1689" i="2"/>
  <c r="G1689" i="2" s="1"/>
  <c r="H1689" i="2" s="1"/>
  <c r="I1689" i="2" s="1"/>
  <c r="B1689" i="2"/>
  <c r="D1688" i="2"/>
  <c r="C1688" i="2"/>
  <c r="G1688" i="2" s="1"/>
  <c r="H1688" i="2" s="1"/>
  <c r="I1688" i="2" s="1"/>
  <c r="B1688" i="2"/>
  <c r="D1687" i="2"/>
  <c r="C1687" i="2"/>
  <c r="G1687" i="2" s="1"/>
  <c r="H1687" i="2" s="1"/>
  <c r="I1687" i="2" s="1"/>
  <c r="B1687" i="2"/>
  <c r="D1686" i="2"/>
  <c r="C1686" i="2"/>
  <c r="G1686" i="2" s="1"/>
  <c r="H1686" i="2" s="1"/>
  <c r="I1686" i="2" s="1"/>
  <c r="B1686" i="2"/>
  <c r="D1685" i="2"/>
  <c r="C1685" i="2"/>
  <c r="G1685" i="2" s="1"/>
  <c r="H1685" i="2" s="1"/>
  <c r="I1685" i="2" s="1"/>
  <c r="B1685" i="2"/>
  <c r="D1684" i="2"/>
  <c r="C1684" i="2"/>
  <c r="G1684" i="2" s="1"/>
  <c r="H1684" i="2" s="1"/>
  <c r="I1684" i="2" s="1"/>
  <c r="B1684" i="2"/>
  <c r="D1683" i="2"/>
  <c r="C1683" i="2"/>
  <c r="G1683" i="2" s="1"/>
  <c r="H1683" i="2" s="1"/>
  <c r="I1683" i="2" s="1"/>
  <c r="B1683" i="2"/>
  <c r="D1682" i="2"/>
  <c r="C1682" i="2"/>
  <c r="G1682" i="2" s="1"/>
  <c r="H1682" i="2" s="1"/>
  <c r="I1682" i="2" s="1"/>
  <c r="B1682" i="2"/>
  <c r="D1681" i="2"/>
  <c r="C1681" i="2"/>
  <c r="G1681" i="2" s="1"/>
  <c r="H1681" i="2" s="1"/>
  <c r="I1681" i="2" s="1"/>
  <c r="B1681" i="2"/>
  <c r="D1680" i="2"/>
  <c r="C1680" i="2"/>
  <c r="G1680" i="2" s="1"/>
  <c r="H1680" i="2" s="1"/>
  <c r="I1680" i="2" s="1"/>
  <c r="B1680" i="2"/>
  <c r="D1679" i="2"/>
  <c r="C1679" i="2"/>
  <c r="G1679" i="2" s="1"/>
  <c r="H1679" i="2" s="1"/>
  <c r="I1679" i="2" s="1"/>
  <c r="B1679" i="2"/>
  <c r="D1678" i="2"/>
  <c r="C1678" i="2"/>
  <c r="G1678" i="2" s="1"/>
  <c r="H1678" i="2" s="1"/>
  <c r="I1678" i="2" s="1"/>
  <c r="B1678" i="2"/>
  <c r="D1677" i="2"/>
  <c r="C1677" i="2"/>
  <c r="G1677" i="2" s="1"/>
  <c r="H1677" i="2" s="1"/>
  <c r="I1677" i="2" s="1"/>
  <c r="B1677" i="2"/>
  <c r="D1676" i="2"/>
  <c r="C1676" i="2"/>
  <c r="G1676" i="2" s="1"/>
  <c r="H1676" i="2" s="1"/>
  <c r="I1676" i="2" s="1"/>
  <c r="B1676" i="2"/>
  <c r="D1675" i="2"/>
  <c r="C1675" i="2"/>
  <c r="G1675" i="2" s="1"/>
  <c r="H1675" i="2" s="1"/>
  <c r="I1675" i="2" s="1"/>
  <c r="B1675" i="2"/>
  <c r="D1674" i="2"/>
  <c r="C1674" i="2"/>
  <c r="G1674" i="2" s="1"/>
  <c r="H1674" i="2" s="1"/>
  <c r="I1674" i="2" s="1"/>
  <c r="B1674" i="2"/>
  <c r="D1673" i="2"/>
  <c r="C1673" i="2"/>
  <c r="G1673" i="2" s="1"/>
  <c r="H1673" i="2" s="1"/>
  <c r="I1673" i="2" s="1"/>
  <c r="B1673" i="2"/>
  <c r="D1672" i="2"/>
  <c r="C1672" i="2"/>
  <c r="G1672" i="2" s="1"/>
  <c r="H1672" i="2" s="1"/>
  <c r="I1672" i="2" s="1"/>
  <c r="B1672" i="2"/>
  <c r="D1671" i="2"/>
  <c r="C1671" i="2"/>
  <c r="G1671" i="2" s="1"/>
  <c r="H1671" i="2" s="1"/>
  <c r="I1671" i="2" s="1"/>
  <c r="B1671" i="2"/>
  <c r="D1670" i="2"/>
  <c r="C1670" i="2"/>
  <c r="G1670" i="2" s="1"/>
  <c r="H1670" i="2" s="1"/>
  <c r="I1670" i="2" s="1"/>
  <c r="B1670" i="2"/>
  <c r="D1669" i="2"/>
  <c r="C1669" i="2"/>
  <c r="G1669" i="2" s="1"/>
  <c r="H1669" i="2" s="1"/>
  <c r="I1669" i="2" s="1"/>
  <c r="B1669" i="2"/>
  <c r="D1668" i="2"/>
  <c r="C1668" i="2"/>
  <c r="G1668" i="2" s="1"/>
  <c r="H1668" i="2" s="1"/>
  <c r="I1668" i="2" s="1"/>
  <c r="B1668" i="2"/>
  <c r="D1667" i="2"/>
  <c r="C1667" i="2"/>
  <c r="G1667" i="2" s="1"/>
  <c r="H1667" i="2" s="1"/>
  <c r="I1667" i="2" s="1"/>
  <c r="B1667" i="2"/>
  <c r="D1666" i="2"/>
  <c r="C1666" i="2"/>
  <c r="G1666" i="2" s="1"/>
  <c r="H1666" i="2" s="1"/>
  <c r="I1666" i="2" s="1"/>
  <c r="B1666" i="2"/>
  <c r="D1665" i="2"/>
  <c r="C1665" i="2"/>
  <c r="G1665" i="2" s="1"/>
  <c r="H1665" i="2" s="1"/>
  <c r="I1665" i="2" s="1"/>
  <c r="B1665" i="2"/>
  <c r="D1664" i="2"/>
  <c r="C1664" i="2"/>
  <c r="G1664" i="2" s="1"/>
  <c r="H1664" i="2" s="1"/>
  <c r="I1664" i="2" s="1"/>
  <c r="B1664" i="2"/>
  <c r="D1663" i="2"/>
  <c r="C1663" i="2"/>
  <c r="G1663" i="2" s="1"/>
  <c r="H1663" i="2" s="1"/>
  <c r="I1663" i="2" s="1"/>
  <c r="B1663" i="2"/>
  <c r="D1662" i="2"/>
  <c r="C1662" i="2"/>
  <c r="G1662" i="2" s="1"/>
  <c r="H1662" i="2" s="1"/>
  <c r="I1662" i="2" s="1"/>
  <c r="B1662" i="2"/>
  <c r="D1661" i="2"/>
  <c r="C1661" i="2"/>
  <c r="G1661" i="2" s="1"/>
  <c r="H1661" i="2" s="1"/>
  <c r="I1661" i="2" s="1"/>
  <c r="B1661" i="2"/>
  <c r="D1660" i="2"/>
  <c r="C1660" i="2"/>
  <c r="G1660" i="2" s="1"/>
  <c r="H1660" i="2" s="1"/>
  <c r="I1660" i="2" s="1"/>
  <c r="B1660" i="2"/>
  <c r="D1659" i="2"/>
  <c r="C1659" i="2"/>
  <c r="G1659" i="2" s="1"/>
  <c r="H1659" i="2" s="1"/>
  <c r="I1659" i="2" s="1"/>
  <c r="B1659" i="2"/>
  <c r="D1658" i="2"/>
  <c r="C1658" i="2"/>
  <c r="G1658" i="2" s="1"/>
  <c r="H1658" i="2" s="1"/>
  <c r="I1658" i="2" s="1"/>
  <c r="B1658" i="2"/>
  <c r="D1657" i="2"/>
  <c r="C1657" i="2"/>
  <c r="G1657" i="2" s="1"/>
  <c r="H1657" i="2" s="1"/>
  <c r="I1657" i="2" s="1"/>
  <c r="B1657" i="2"/>
  <c r="D1656" i="2"/>
  <c r="C1656" i="2"/>
  <c r="G1656" i="2" s="1"/>
  <c r="H1656" i="2" s="1"/>
  <c r="I1656" i="2" s="1"/>
  <c r="B1656" i="2"/>
  <c r="D1655" i="2"/>
  <c r="C1655" i="2"/>
  <c r="G1655" i="2" s="1"/>
  <c r="H1655" i="2" s="1"/>
  <c r="I1655" i="2" s="1"/>
  <c r="B1655" i="2"/>
  <c r="D1654" i="2"/>
  <c r="C1654" i="2"/>
  <c r="G1654" i="2" s="1"/>
  <c r="H1654" i="2" s="1"/>
  <c r="I1654" i="2" s="1"/>
  <c r="B1654" i="2"/>
  <c r="D1653" i="2"/>
  <c r="C1653" i="2"/>
  <c r="G1653" i="2" s="1"/>
  <c r="H1653" i="2" s="1"/>
  <c r="I1653" i="2" s="1"/>
  <c r="B1653" i="2"/>
  <c r="D1652" i="2"/>
  <c r="C1652" i="2"/>
  <c r="G1652" i="2" s="1"/>
  <c r="H1652" i="2" s="1"/>
  <c r="I1652" i="2" s="1"/>
  <c r="B1652" i="2"/>
  <c r="D1651" i="2"/>
  <c r="C1651" i="2"/>
  <c r="G1651" i="2" s="1"/>
  <c r="H1651" i="2" s="1"/>
  <c r="I1651" i="2" s="1"/>
  <c r="B1651" i="2"/>
  <c r="D1650" i="2"/>
  <c r="C1650" i="2"/>
  <c r="G1650" i="2" s="1"/>
  <c r="H1650" i="2" s="1"/>
  <c r="I1650" i="2" s="1"/>
  <c r="B1650" i="2"/>
  <c r="E1649" i="2"/>
  <c r="D1649" i="2"/>
  <c r="C1649" i="2"/>
  <c r="G1649" i="2" s="1"/>
  <c r="H1649" i="2" s="1"/>
  <c r="I1649" i="2" s="1"/>
  <c r="B1649" i="2"/>
  <c r="G1648" i="2"/>
  <c r="H1648" i="2" s="1"/>
  <c r="I1648" i="2" s="1"/>
  <c r="E1648" i="2"/>
  <c r="D1648" i="2"/>
  <c r="C1648" i="2"/>
  <c r="B1648" i="2"/>
  <c r="E1647" i="2"/>
  <c r="D1647" i="2"/>
  <c r="C1647" i="2"/>
  <c r="G1647" i="2" s="1"/>
  <c r="H1647" i="2" s="1"/>
  <c r="I1647" i="2" s="1"/>
  <c r="B1647" i="2"/>
  <c r="E1646" i="2"/>
  <c r="D1646" i="2"/>
  <c r="C1646" i="2"/>
  <c r="G1646" i="2" s="1"/>
  <c r="H1646" i="2" s="1"/>
  <c r="I1646" i="2" s="1"/>
  <c r="B1646" i="2"/>
  <c r="D1645" i="2"/>
  <c r="C1645" i="2"/>
  <c r="G1645" i="2" s="1"/>
  <c r="H1645" i="2" s="1"/>
  <c r="I1645" i="2" s="1"/>
  <c r="B1645" i="2"/>
  <c r="D1644" i="2"/>
  <c r="C1644" i="2"/>
  <c r="G1644" i="2" s="1"/>
  <c r="H1644" i="2" s="1"/>
  <c r="I1644" i="2" s="1"/>
  <c r="B1644" i="2"/>
  <c r="D1643" i="2"/>
  <c r="C1643" i="2"/>
  <c r="G1643" i="2" s="1"/>
  <c r="H1643" i="2" s="1"/>
  <c r="I1643" i="2" s="1"/>
  <c r="B1643" i="2"/>
  <c r="D1642" i="2"/>
  <c r="C1642" i="2"/>
  <c r="G1642" i="2" s="1"/>
  <c r="H1642" i="2" s="1"/>
  <c r="I1642" i="2" s="1"/>
  <c r="B1642" i="2"/>
  <c r="D1641" i="2"/>
  <c r="C1641" i="2"/>
  <c r="G1641" i="2" s="1"/>
  <c r="H1641" i="2" s="1"/>
  <c r="I1641" i="2" s="1"/>
  <c r="B1641" i="2"/>
  <c r="E1640" i="2"/>
  <c r="D1640" i="2"/>
  <c r="C1640" i="2"/>
  <c r="G1640" i="2" s="1"/>
  <c r="H1640" i="2" s="1"/>
  <c r="I1640" i="2" s="1"/>
  <c r="B1640" i="2"/>
  <c r="D1639" i="2"/>
  <c r="C1639" i="2"/>
  <c r="G1639" i="2" s="1"/>
  <c r="H1639" i="2" s="1"/>
  <c r="I1639" i="2" s="1"/>
  <c r="B1639" i="2"/>
  <c r="D1638" i="2"/>
  <c r="C1638" i="2"/>
  <c r="G1638" i="2" s="1"/>
  <c r="H1638" i="2" s="1"/>
  <c r="I1638" i="2" s="1"/>
  <c r="B1638" i="2"/>
  <c r="D1637" i="2"/>
  <c r="C1637" i="2"/>
  <c r="G1637" i="2" s="1"/>
  <c r="H1637" i="2" s="1"/>
  <c r="I1637" i="2" s="1"/>
  <c r="B1637" i="2"/>
  <c r="D1636" i="2"/>
  <c r="C1636" i="2"/>
  <c r="G1636" i="2" s="1"/>
  <c r="H1636" i="2" s="1"/>
  <c r="I1636" i="2" s="1"/>
  <c r="B1636" i="2"/>
  <c r="D1635" i="2"/>
  <c r="C1635" i="2"/>
  <c r="G1635" i="2" s="1"/>
  <c r="H1635" i="2" s="1"/>
  <c r="I1635" i="2" s="1"/>
  <c r="B1635" i="2"/>
  <c r="D1634" i="2"/>
  <c r="C1634" i="2"/>
  <c r="G1634" i="2" s="1"/>
  <c r="H1634" i="2" s="1"/>
  <c r="I1634" i="2" s="1"/>
  <c r="B1634" i="2"/>
  <c r="D1633" i="2"/>
  <c r="C1633" i="2"/>
  <c r="G1633" i="2" s="1"/>
  <c r="H1633" i="2" s="1"/>
  <c r="I1633" i="2" s="1"/>
  <c r="B1633" i="2"/>
  <c r="D1632" i="2"/>
  <c r="C1632" i="2"/>
  <c r="G1632" i="2" s="1"/>
  <c r="H1632" i="2" s="1"/>
  <c r="I1632" i="2" s="1"/>
  <c r="B1632" i="2"/>
  <c r="D1631" i="2"/>
  <c r="C1631" i="2"/>
  <c r="G1631" i="2" s="1"/>
  <c r="H1631" i="2" s="1"/>
  <c r="I1631" i="2" s="1"/>
  <c r="B1631" i="2"/>
  <c r="D1630" i="2"/>
  <c r="C1630" i="2"/>
  <c r="G1630" i="2" s="1"/>
  <c r="H1630" i="2" s="1"/>
  <c r="I1630" i="2" s="1"/>
  <c r="B1630" i="2"/>
  <c r="D1629" i="2"/>
  <c r="C1629" i="2"/>
  <c r="G1629" i="2" s="1"/>
  <c r="H1629" i="2" s="1"/>
  <c r="I1629" i="2" s="1"/>
  <c r="B1629" i="2"/>
  <c r="D1628" i="2"/>
  <c r="C1628" i="2"/>
  <c r="G1628" i="2" s="1"/>
  <c r="H1628" i="2" s="1"/>
  <c r="I1628" i="2" s="1"/>
  <c r="B1628" i="2"/>
  <c r="D1627" i="2"/>
  <c r="C1627" i="2"/>
  <c r="G1627" i="2" s="1"/>
  <c r="H1627" i="2" s="1"/>
  <c r="I1627" i="2" s="1"/>
  <c r="B1627" i="2"/>
  <c r="D1626" i="2"/>
  <c r="C1626" i="2"/>
  <c r="G1626" i="2" s="1"/>
  <c r="H1626" i="2" s="1"/>
  <c r="I1626" i="2" s="1"/>
  <c r="B1626" i="2"/>
  <c r="D1625" i="2"/>
  <c r="C1625" i="2"/>
  <c r="G1625" i="2" s="1"/>
  <c r="H1625" i="2" s="1"/>
  <c r="I1625" i="2" s="1"/>
  <c r="B1625" i="2"/>
  <c r="D1624" i="2"/>
  <c r="C1624" i="2"/>
  <c r="G1624" i="2" s="1"/>
  <c r="H1624" i="2" s="1"/>
  <c r="I1624" i="2" s="1"/>
  <c r="B1624" i="2"/>
  <c r="D1623" i="2"/>
  <c r="C1623" i="2"/>
  <c r="G1623" i="2" s="1"/>
  <c r="H1623" i="2" s="1"/>
  <c r="I1623" i="2" s="1"/>
  <c r="B1623" i="2"/>
  <c r="D1622" i="2"/>
  <c r="C1622" i="2"/>
  <c r="G1622" i="2" s="1"/>
  <c r="H1622" i="2" s="1"/>
  <c r="I1622" i="2" s="1"/>
  <c r="B1622" i="2"/>
  <c r="D1621" i="2"/>
  <c r="C1621" i="2"/>
  <c r="G1621" i="2" s="1"/>
  <c r="H1621" i="2" s="1"/>
  <c r="I1621" i="2" s="1"/>
  <c r="B1621" i="2"/>
  <c r="D1620" i="2"/>
  <c r="C1620" i="2"/>
  <c r="G1620" i="2" s="1"/>
  <c r="H1620" i="2" s="1"/>
  <c r="I1620" i="2" s="1"/>
  <c r="B1620" i="2"/>
  <c r="D1619" i="2"/>
  <c r="C1619" i="2"/>
  <c r="G1619" i="2" s="1"/>
  <c r="H1619" i="2" s="1"/>
  <c r="I1619" i="2" s="1"/>
  <c r="B1619" i="2"/>
  <c r="D1618" i="2"/>
  <c r="C1618" i="2"/>
  <c r="G1618" i="2" s="1"/>
  <c r="H1618" i="2" s="1"/>
  <c r="I1618" i="2" s="1"/>
  <c r="B1618" i="2"/>
  <c r="D1617" i="2"/>
  <c r="C1617" i="2"/>
  <c r="G1617" i="2" s="1"/>
  <c r="H1617" i="2" s="1"/>
  <c r="I1617" i="2" s="1"/>
  <c r="B1617" i="2"/>
  <c r="D1616" i="2"/>
  <c r="C1616" i="2"/>
  <c r="G1616" i="2" s="1"/>
  <c r="H1616" i="2" s="1"/>
  <c r="I1616" i="2" s="1"/>
  <c r="B1616" i="2"/>
  <c r="D1615" i="2"/>
  <c r="C1615" i="2"/>
  <c r="G1615" i="2" s="1"/>
  <c r="H1615" i="2" s="1"/>
  <c r="I1615" i="2" s="1"/>
  <c r="B1615" i="2"/>
  <c r="D1614" i="2"/>
  <c r="C1614" i="2"/>
  <c r="G1614" i="2" s="1"/>
  <c r="H1614" i="2" s="1"/>
  <c r="I1614" i="2" s="1"/>
  <c r="B1614" i="2"/>
  <c r="D1613" i="2"/>
  <c r="C1613" i="2"/>
  <c r="G1613" i="2" s="1"/>
  <c r="H1613" i="2" s="1"/>
  <c r="I1613" i="2" s="1"/>
  <c r="B1613" i="2"/>
  <c r="D1612" i="2"/>
  <c r="C1612" i="2"/>
  <c r="G1612" i="2" s="1"/>
  <c r="H1612" i="2" s="1"/>
  <c r="I1612" i="2" s="1"/>
  <c r="B1612" i="2"/>
  <c r="D1611" i="2"/>
  <c r="C1611" i="2"/>
  <c r="G1611" i="2" s="1"/>
  <c r="H1611" i="2" s="1"/>
  <c r="I1611" i="2" s="1"/>
  <c r="B1611" i="2"/>
  <c r="D1610" i="2"/>
  <c r="C1610" i="2"/>
  <c r="G1610" i="2" s="1"/>
  <c r="H1610" i="2" s="1"/>
  <c r="I1610" i="2" s="1"/>
  <c r="B1610" i="2"/>
  <c r="D1609" i="2"/>
  <c r="C1609" i="2"/>
  <c r="G1609" i="2" s="1"/>
  <c r="H1609" i="2" s="1"/>
  <c r="I1609" i="2" s="1"/>
  <c r="B1609" i="2"/>
  <c r="D1608" i="2"/>
  <c r="C1608" i="2"/>
  <c r="G1608" i="2" s="1"/>
  <c r="H1608" i="2" s="1"/>
  <c r="I1608" i="2" s="1"/>
  <c r="B1608" i="2"/>
  <c r="D1607" i="2"/>
  <c r="C1607" i="2"/>
  <c r="G1607" i="2" s="1"/>
  <c r="H1607" i="2" s="1"/>
  <c r="I1607" i="2" s="1"/>
  <c r="B1607" i="2"/>
  <c r="D1606" i="2"/>
  <c r="C1606" i="2"/>
  <c r="G1606" i="2" s="1"/>
  <c r="H1606" i="2" s="1"/>
  <c r="I1606" i="2" s="1"/>
  <c r="B1606" i="2"/>
  <c r="D1605" i="2"/>
  <c r="C1605" i="2"/>
  <c r="G1605" i="2" s="1"/>
  <c r="H1605" i="2" s="1"/>
  <c r="I1605" i="2" s="1"/>
  <c r="B1605" i="2"/>
  <c r="D1604" i="2"/>
  <c r="C1604" i="2"/>
  <c r="G1604" i="2" s="1"/>
  <c r="H1604" i="2" s="1"/>
  <c r="I1604" i="2" s="1"/>
  <c r="B1604" i="2"/>
  <c r="E1603" i="2"/>
  <c r="D1603" i="2"/>
  <c r="C1603" i="2"/>
  <c r="G1603" i="2" s="1"/>
  <c r="H1603" i="2" s="1"/>
  <c r="I1603" i="2" s="1"/>
  <c r="B1603" i="2"/>
  <c r="D1602" i="2"/>
  <c r="C1602" i="2"/>
  <c r="G1602" i="2" s="1"/>
  <c r="H1602" i="2" s="1"/>
  <c r="I1602" i="2" s="1"/>
  <c r="B1602" i="2"/>
  <c r="D1601" i="2"/>
  <c r="C1601" i="2"/>
  <c r="G1601" i="2" s="1"/>
  <c r="H1601" i="2" s="1"/>
  <c r="I1601" i="2" s="1"/>
  <c r="B1601" i="2"/>
  <c r="D1600" i="2"/>
  <c r="C1600" i="2"/>
  <c r="G1600" i="2" s="1"/>
  <c r="H1600" i="2" s="1"/>
  <c r="I1600" i="2" s="1"/>
  <c r="B1600" i="2"/>
  <c r="D1599" i="2"/>
  <c r="C1599" i="2"/>
  <c r="G1599" i="2" s="1"/>
  <c r="H1599" i="2" s="1"/>
  <c r="I1599" i="2" s="1"/>
  <c r="B1599" i="2"/>
  <c r="D1598" i="2"/>
  <c r="C1598" i="2"/>
  <c r="G1598" i="2" s="1"/>
  <c r="H1598" i="2" s="1"/>
  <c r="I1598" i="2" s="1"/>
  <c r="B1598" i="2"/>
  <c r="D1597" i="2"/>
  <c r="C1597" i="2"/>
  <c r="G1597" i="2" s="1"/>
  <c r="H1597" i="2" s="1"/>
  <c r="I1597" i="2" s="1"/>
  <c r="B1597" i="2"/>
  <c r="D1596" i="2"/>
  <c r="C1596" i="2"/>
  <c r="G1596" i="2" s="1"/>
  <c r="H1596" i="2" s="1"/>
  <c r="I1596" i="2" s="1"/>
  <c r="B1596" i="2"/>
  <c r="D1595" i="2"/>
  <c r="C1595" i="2"/>
  <c r="G1595" i="2" s="1"/>
  <c r="H1595" i="2" s="1"/>
  <c r="I1595" i="2" s="1"/>
  <c r="B1595" i="2"/>
  <c r="D1594" i="2"/>
  <c r="C1594" i="2"/>
  <c r="G1594" i="2" s="1"/>
  <c r="H1594" i="2" s="1"/>
  <c r="I1594" i="2" s="1"/>
  <c r="B1594" i="2"/>
  <c r="D1593" i="2"/>
  <c r="C1593" i="2"/>
  <c r="G1593" i="2" s="1"/>
  <c r="H1593" i="2" s="1"/>
  <c r="I1593" i="2" s="1"/>
  <c r="B1593" i="2"/>
  <c r="D1592" i="2"/>
  <c r="C1592" i="2"/>
  <c r="G1592" i="2" s="1"/>
  <c r="H1592" i="2" s="1"/>
  <c r="I1592" i="2" s="1"/>
  <c r="B1592" i="2"/>
  <c r="D1591" i="2"/>
  <c r="C1591" i="2"/>
  <c r="G1591" i="2" s="1"/>
  <c r="H1591" i="2" s="1"/>
  <c r="I1591" i="2" s="1"/>
  <c r="B1591" i="2"/>
  <c r="D1590" i="2"/>
  <c r="C1590" i="2"/>
  <c r="G1590" i="2" s="1"/>
  <c r="H1590" i="2" s="1"/>
  <c r="I1590" i="2" s="1"/>
  <c r="B1590" i="2"/>
  <c r="D1589" i="2"/>
  <c r="C1589" i="2"/>
  <c r="G1589" i="2" s="1"/>
  <c r="H1589" i="2" s="1"/>
  <c r="I1589" i="2" s="1"/>
  <c r="B1589" i="2"/>
  <c r="D1588" i="2"/>
  <c r="C1588" i="2"/>
  <c r="G1588" i="2" s="1"/>
  <c r="H1588" i="2" s="1"/>
  <c r="I1588" i="2" s="1"/>
  <c r="B1588" i="2"/>
  <c r="D1587" i="2"/>
  <c r="C1587" i="2"/>
  <c r="G1587" i="2" s="1"/>
  <c r="H1587" i="2" s="1"/>
  <c r="I1587" i="2" s="1"/>
  <c r="B1587" i="2"/>
  <c r="D1586" i="2"/>
  <c r="C1586" i="2"/>
  <c r="G1586" i="2" s="1"/>
  <c r="H1586" i="2" s="1"/>
  <c r="I1586" i="2" s="1"/>
  <c r="B1586" i="2"/>
  <c r="D1585" i="2"/>
  <c r="C1585" i="2"/>
  <c r="G1585" i="2" s="1"/>
  <c r="H1585" i="2" s="1"/>
  <c r="I1585" i="2" s="1"/>
  <c r="B1585" i="2"/>
  <c r="D1584" i="2"/>
  <c r="C1584" i="2"/>
  <c r="G1584" i="2" s="1"/>
  <c r="H1584" i="2" s="1"/>
  <c r="I1584" i="2" s="1"/>
  <c r="B1584" i="2"/>
  <c r="D1583" i="2"/>
  <c r="C1583" i="2"/>
  <c r="G1583" i="2" s="1"/>
  <c r="H1583" i="2" s="1"/>
  <c r="I1583" i="2" s="1"/>
  <c r="B1583" i="2"/>
  <c r="D1582" i="2"/>
  <c r="C1582" i="2"/>
  <c r="G1582" i="2" s="1"/>
  <c r="H1582" i="2" s="1"/>
  <c r="I1582" i="2" s="1"/>
  <c r="B1582" i="2"/>
  <c r="D1581" i="2"/>
  <c r="C1581" i="2"/>
  <c r="G1581" i="2" s="1"/>
  <c r="H1581" i="2" s="1"/>
  <c r="I1581" i="2" s="1"/>
  <c r="B1581" i="2"/>
  <c r="D1580" i="2"/>
  <c r="C1580" i="2"/>
  <c r="G1580" i="2" s="1"/>
  <c r="H1580" i="2" s="1"/>
  <c r="I1580" i="2" s="1"/>
  <c r="B1580" i="2"/>
  <c r="D1579" i="2"/>
  <c r="C1579" i="2"/>
  <c r="G1579" i="2" s="1"/>
  <c r="H1579" i="2" s="1"/>
  <c r="I1579" i="2" s="1"/>
  <c r="B1579" i="2"/>
  <c r="D1578" i="2"/>
  <c r="C1578" i="2"/>
  <c r="G1578" i="2" s="1"/>
  <c r="H1578" i="2" s="1"/>
  <c r="I1578" i="2" s="1"/>
  <c r="B1578" i="2"/>
  <c r="D1577" i="2"/>
  <c r="C1577" i="2"/>
  <c r="G1577" i="2" s="1"/>
  <c r="H1577" i="2" s="1"/>
  <c r="I1577" i="2" s="1"/>
  <c r="B1577" i="2"/>
  <c r="D1576" i="2"/>
  <c r="C1576" i="2"/>
  <c r="G1576" i="2" s="1"/>
  <c r="H1576" i="2" s="1"/>
  <c r="I1576" i="2" s="1"/>
  <c r="B1576" i="2"/>
  <c r="D1575" i="2"/>
  <c r="C1575" i="2"/>
  <c r="G1575" i="2" s="1"/>
  <c r="H1575" i="2" s="1"/>
  <c r="I1575" i="2" s="1"/>
  <c r="B1575" i="2"/>
  <c r="D1574" i="2"/>
  <c r="C1574" i="2"/>
  <c r="G1574" i="2" s="1"/>
  <c r="H1574" i="2" s="1"/>
  <c r="I1574" i="2" s="1"/>
  <c r="B1574" i="2"/>
  <c r="D1573" i="2"/>
  <c r="C1573" i="2"/>
  <c r="G1573" i="2" s="1"/>
  <c r="H1573" i="2" s="1"/>
  <c r="I1573" i="2" s="1"/>
  <c r="B1573" i="2"/>
  <c r="D1572" i="2"/>
  <c r="C1572" i="2"/>
  <c r="G1572" i="2" s="1"/>
  <c r="H1572" i="2" s="1"/>
  <c r="I1572" i="2" s="1"/>
  <c r="B1572" i="2"/>
  <c r="D1571" i="2"/>
  <c r="C1571" i="2"/>
  <c r="G1571" i="2" s="1"/>
  <c r="H1571" i="2" s="1"/>
  <c r="I1571" i="2" s="1"/>
  <c r="B1571" i="2"/>
  <c r="D1570" i="2"/>
  <c r="C1570" i="2"/>
  <c r="G1570" i="2" s="1"/>
  <c r="H1570" i="2" s="1"/>
  <c r="I1570" i="2" s="1"/>
  <c r="B1570" i="2"/>
  <c r="D1569" i="2"/>
  <c r="C1569" i="2"/>
  <c r="G1569" i="2" s="1"/>
  <c r="H1569" i="2" s="1"/>
  <c r="I1569" i="2" s="1"/>
  <c r="B1569" i="2"/>
  <c r="D1568" i="2"/>
  <c r="C1568" i="2"/>
  <c r="G1568" i="2" s="1"/>
  <c r="H1568" i="2" s="1"/>
  <c r="I1568" i="2" s="1"/>
  <c r="B1568" i="2"/>
  <c r="D1567" i="2"/>
  <c r="C1567" i="2"/>
  <c r="G1567" i="2" s="1"/>
  <c r="H1567" i="2" s="1"/>
  <c r="I1567" i="2" s="1"/>
  <c r="B1567" i="2"/>
  <c r="D1566" i="2"/>
  <c r="C1566" i="2"/>
  <c r="G1566" i="2" s="1"/>
  <c r="H1566" i="2" s="1"/>
  <c r="I1566" i="2" s="1"/>
  <c r="B1566" i="2"/>
  <c r="D1565" i="2"/>
  <c r="C1565" i="2"/>
  <c r="G1565" i="2" s="1"/>
  <c r="H1565" i="2" s="1"/>
  <c r="I1565" i="2" s="1"/>
  <c r="B1565" i="2"/>
  <c r="D1564" i="2"/>
  <c r="C1564" i="2"/>
  <c r="G1564" i="2" s="1"/>
  <c r="H1564" i="2" s="1"/>
  <c r="I1564" i="2" s="1"/>
  <c r="B1564" i="2"/>
  <c r="D1563" i="2"/>
  <c r="C1563" i="2"/>
  <c r="G1563" i="2" s="1"/>
  <c r="H1563" i="2" s="1"/>
  <c r="I1563" i="2" s="1"/>
  <c r="B1563" i="2"/>
  <c r="D1562" i="2"/>
  <c r="C1562" i="2"/>
  <c r="G1562" i="2" s="1"/>
  <c r="H1562" i="2" s="1"/>
  <c r="I1562" i="2" s="1"/>
  <c r="B1562" i="2"/>
  <c r="D1561" i="2"/>
  <c r="C1561" i="2"/>
  <c r="G1561" i="2" s="1"/>
  <c r="H1561" i="2" s="1"/>
  <c r="I1561" i="2" s="1"/>
  <c r="B1561" i="2"/>
  <c r="D1560" i="2"/>
  <c r="C1560" i="2"/>
  <c r="G1560" i="2" s="1"/>
  <c r="H1560" i="2" s="1"/>
  <c r="I1560" i="2" s="1"/>
  <c r="B1560" i="2"/>
  <c r="D1559" i="2"/>
  <c r="C1559" i="2"/>
  <c r="G1559" i="2" s="1"/>
  <c r="H1559" i="2" s="1"/>
  <c r="I1559" i="2" s="1"/>
  <c r="B1559" i="2"/>
  <c r="D1558" i="2"/>
  <c r="C1558" i="2"/>
  <c r="G1558" i="2" s="1"/>
  <c r="H1558" i="2" s="1"/>
  <c r="I1558" i="2" s="1"/>
  <c r="B1558" i="2"/>
  <c r="E1557" i="2"/>
  <c r="D1557" i="2"/>
  <c r="C1557" i="2"/>
  <c r="G1557" i="2" s="1"/>
  <c r="H1557" i="2" s="1"/>
  <c r="I1557" i="2" s="1"/>
  <c r="B1557" i="2"/>
  <c r="E1556" i="2"/>
  <c r="D1556" i="2"/>
  <c r="C1556" i="2"/>
  <c r="G1556" i="2" s="1"/>
  <c r="H1556" i="2" s="1"/>
  <c r="I1556" i="2" s="1"/>
  <c r="B1556" i="2"/>
  <c r="D1555" i="2"/>
  <c r="C1555" i="2"/>
  <c r="G1555" i="2" s="1"/>
  <c r="H1555" i="2" s="1"/>
  <c r="I1555" i="2" s="1"/>
  <c r="B1555" i="2"/>
  <c r="D1554" i="2"/>
  <c r="C1554" i="2"/>
  <c r="G1554" i="2" s="1"/>
  <c r="H1554" i="2" s="1"/>
  <c r="I1554" i="2" s="1"/>
  <c r="B1554" i="2"/>
  <c r="D1553" i="2"/>
  <c r="C1553" i="2"/>
  <c r="G1553" i="2" s="1"/>
  <c r="H1553" i="2" s="1"/>
  <c r="I1553" i="2" s="1"/>
  <c r="B1553" i="2"/>
  <c r="D1552" i="2"/>
  <c r="C1552" i="2"/>
  <c r="G1552" i="2" s="1"/>
  <c r="H1552" i="2" s="1"/>
  <c r="I1552" i="2" s="1"/>
  <c r="B1552" i="2"/>
  <c r="D1551" i="2"/>
  <c r="C1551" i="2"/>
  <c r="G1551" i="2" s="1"/>
  <c r="H1551" i="2" s="1"/>
  <c r="I1551" i="2" s="1"/>
  <c r="B1551" i="2"/>
  <c r="D1550" i="2"/>
  <c r="C1550" i="2"/>
  <c r="G1550" i="2" s="1"/>
  <c r="H1550" i="2" s="1"/>
  <c r="I1550" i="2" s="1"/>
  <c r="B1550" i="2"/>
  <c r="D1549" i="2"/>
  <c r="C1549" i="2"/>
  <c r="G1549" i="2" s="1"/>
  <c r="H1549" i="2" s="1"/>
  <c r="I1549" i="2" s="1"/>
  <c r="B1549" i="2"/>
  <c r="D1548" i="2"/>
  <c r="C1548" i="2"/>
  <c r="G1548" i="2" s="1"/>
  <c r="H1548" i="2" s="1"/>
  <c r="I1548" i="2" s="1"/>
  <c r="B1548" i="2"/>
  <c r="D1547" i="2"/>
  <c r="C1547" i="2"/>
  <c r="G1547" i="2" s="1"/>
  <c r="H1547" i="2" s="1"/>
  <c r="I1547" i="2" s="1"/>
  <c r="B1547" i="2"/>
  <c r="D1546" i="2"/>
  <c r="C1546" i="2"/>
  <c r="G1546" i="2" s="1"/>
  <c r="H1546" i="2" s="1"/>
  <c r="I1546" i="2" s="1"/>
  <c r="B1546" i="2"/>
  <c r="D1545" i="2"/>
  <c r="C1545" i="2"/>
  <c r="G1545" i="2" s="1"/>
  <c r="H1545" i="2" s="1"/>
  <c r="I1545" i="2" s="1"/>
  <c r="B1545" i="2"/>
  <c r="D1544" i="2"/>
  <c r="C1544" i="2"/>
  <c r="G1544" i="2" s="1"/>
  <c r="H1544" i="2" s="1"/>
  <c r="I1544" i="2" s="1"/>
  <c r="B1544" i="2"/>
  <c r="D1543" i="2"/>
  <c r="C1543" i="2"/>
  <c r="G1543" i="2" s="1"/>
  <c r="H1543" i="2" s="1"/>
  <c r="I1543" i="2" s="1"/>
  <c r="B1543" i="2"/>
  <c r="D1542" i="2"/>
  <c r="C1542" i="2"/>
  <c r="G1542" i="2" s="1"/>
  <c r="H1542" i="2" s="1"/>
  <c r="I1542" i="2" s="1"/>
  <c r="B1542" i="2"/>
  <c r="D1541" i="2"/>
  <c r="C1541" i="2"/>
  <c r="G1541" i="2" s="1"/>
  <c r="H1541" i="2" s="1"/>
  <c r="I1541" i="2" s="1"/>
  <c r="B1541" i="2"/>
  <c r="D1540" i="2"/>
  <c r="C1540" i="2"/>
  <c r="G1540" i="2" s="1"/>
  <c r="H1540" i="2" s="1"/>
  <c r="I1540" i="2" s="1"/>
  <c r="B1540" i="2"/>
  <c r="D1539" i="2"/>
  <c r="C1539" i="2"/>
  <c r="G1539" i="2" s="1"/>
  <c r="H1539" i="2" s="1"/>
  <c r="I1539" i="2" s="1"/>
  <c r="B1539" i="2"/>
  <c r="D1538" i="2"/>
  <c r="C1538" i="2"/>
  <c r="G1538" i="2" s="1"/>
  <c r="H1538" i="2" s="1"/>
  <c r="I1538" i="2" s="1"/>
  <c r="B1538" i="2"/>
  <c r="D1537" i="2"/>
  <c r="C1537" i="2"/>
  <c r="G1537" i="2" s="1"/>
  <c r="H1537" i="2" s="1"/>
  <c r="I1537" i="2" s="1"/>
  <c r="B1537" i="2"/>
  <c r="D1536" i="2"/>
  <c r="C1536" i="2"/>
  <c r="G1536" i="2" s="1"/>
  <c r="H1536" i="2" s="1"/>
  <c r="I1536" i="2" s="1"/>
  <c r="B1536" i="2"/>
  <c r="D1535" i="2"/>
  <c r="C1535" i="2"/>
  <c r="G1535" i="2" s="1"/>
  <c r="H1535" i="2" s="1"/>
  <c r="I1535" i="2" s="1"/>
  <c r="B1535" i="2"/>
  <c r="D1534" i="2"/>
  <c r="C1534" i="2"/>
  <c r="G1534" i="2" s="1"/>
  <c r="H1534" i="2" s="1"/>
  <c r="I1534" i="2" s="1"/>
  <c r="B1534" i="2"/>
  <c r="D1533" i="2"/>
  <c r="C1533" i="2"/>
  <c r="G1533" i="2" s="1"/>
  <c r="H1533" i="2" s="1"/>
  <c r="I1533" i="2" s="1"/>
  <c r="B1533" i="2"/>
  <c r="D1532" i="2"/>
  <c r="C1532" i="2"/>
  <c r="G1532" i="2" s="1"/>
  <c r="H1532" i="2" s="1"/>
  <c r="I1532" i="2" s="1"/>
  <c r="B1532" i="2"/>
  <c r="D1531" i="2"/>
  <c r="C1531" i="2"/>
  <c r="G1531" i="2" s="1"/>
  <c r="H1531" i="2" s="1"/>
  <c r="I1531" i="2" s="1"/>
  <c r="B1531" i="2"/>
  <c r="D1530" i="2"/>
  <c r="C1530" i="2"/>
  <c r="G1530" i="2" s="1"/>
  <c r="H1530" i="2" s="1"/>
  <c r="I1530" i="2" s="1"/>
  <c r="B1530" i="2"/>
  <c r="D1529" i="2"/>
  <c r="C1529" i="2"/>
  <c r="G1529" i="2" s="1"/>
  <c r="H1529" i="2" s="1"/>
  <c r="I1529" i="2" s="1"/>
  <c r="B1529" i="2"/>
  <c r="D1528" i="2"/>
  <c r="C1528" i="2"/>
  <c r="G1528" i="2" s="1"/>
  <c r="H1528" i="2" s="1"/>
  <c r="I1528" i="2" s="1"/>
  <c r="B1528" i="2"/>
  <c r="D1527" i="2"/>
  <c r="C1527" i="2"/>
  <c r="G1527" i="2" s="1"/>
  <c r="H1527" i="2" s="1"/>
  <c r="I1527" i="2" s="1"/>
  <c r="B1527" i="2"/>
  <c r="D1526" i="2"/>
  <c r="C1526" i="2"/>
  <c r="G1526" i="2" s="1"/>
  <c r="H1526" i="2" s="1"/>
  <c r="I1526" i="2" s="1"/>
  <c r="B1526" i="2"/>
  <c r="G1525" i="2"/>
  <c r="H1525" i="2" s="1"/>
  <c r="I1525" i="2" s="1"/>
  <c r="D1525" i="2"/>
  <c r="C1525" i="2"/>
  <c r="B1525" i="2"/>
  <c r="D1524" i="2"/>
  <c r="C1524" i="2"/>
  <c r="G1524" i="2" s="1"/>
  <c r="H1524" i="2" s="1"/>
  <c r="I1524" i="2" s="1"/>
  <c r="B1524" i="2"/>
  <c r="D1523" i="2"/>
  <c r="C1523" i="2"/>
  <c r="G1523" i="2" s="1"/>
  <c r="H1523" i="2" s="1"/>
  <c r="I1523" i="2" s="1"/>
  <c r="B1523" i="2"/>
  <c r="D1522" i="2"/>
  <c r="C1522" i="2"/>
  <c r="G1522" i="2" s="1"/>
  <c r="H1522" i="2" s="1"/>
  <c r="I1522" i="2" s="1"/>
  <c r="B1522" i="2"/>
  <c r="G1521" i="2"/>
  <c r="H1521" i="2" s="1"/>
  <c r="I1521" i="2" s="1"/>
  <c r="D1521" i="2"/>
  <c r="C1521" i="2"/>
  <c r="B1521" i="2"/>
  <c r="D1520" i="2"/>
  <c r="C1520" i="2"/>
  <c r="G1520" i="2" s="1"/>
  <c r="H1520" i="2" s="1"/>
  <c r="I1520" i="2" s="1"/>
  <c r="B1520" i="2"/>
  <c r="D1519" i="2"/>
  <c r="C1519" i="2"/>
  <c r="G1519" i="2" s="1"/>
  <c r="H1519" i="2" s="1"/>
  <c r="I1519" i="2" s="1"/>
  <c r="B1519" i="2"/>
  <c r="D1518" i="2"/>
  <c r="C1518" i="2"/>
  <c r="G1518" i="2" s="1"/>
  <c r="H1518" i="2" s="1"/>
  <c r="I1518" i="2" s="1"/>
  <c r="B1518" i="2"/>
  <c r="D1517" i="2"/>
  <c r="C1517" i="2"/>
  <c r="G1517" i="2" s="1"/>
  <c r="H1517" i="2" s="1"/>
  <c r="I1517" i="2" s="1"/>
  <c r="B1517" i="2"/>
  <c r="D1516" i="2"/>
  <c r="C1516" i="2"/>
  <c r="G1516" i="2" s="1"/>
  <c r="H1516" i="2" s="1"/>
  <c r="I1516" i="2" s="1"/>
  <c r="B1516" i="2"/>
  <c r="E1515" i="2"/>
  <c r="D1515" i="2"/>
  <c r="C1515" i="2"/>
  <c r="G1515" i="2" s="1"/>
  <c r="H1515" i="2" s="1"/>
  <c r="I1515" i="2" s="1"/>
  <c r="B1515" i="2"/>
  <c r="D1514" i="2"/>
  <c r="C1514" i="2"/>
  <c r="G1514" i="2" s="1"/>
  <c r="H1514" i="2" s="1"/>
  <c r="I1514" i="2" s="1"/>
  <c r="B1514" i="2"/>
  <c r="D1513" i="2"/>
  <c r="C1513" i="2"/>
  <c r="G1513" i="2" s="1"/>
  <c r="H1513" i="2" s="1"/>
  <c r="I1513" i="2" s="1"/>
  <c r="B1513" i="2"/>
  <c r="D1512" i="2"/>
  <c r="C1512" i="2"/>
  <c r="G1512" i="2" s="1"/>
  <c r="H1512" i="2" s="1"/>
  <c r="I1512" i="2" s="1"/>
  <c r="B1512" i="2"/>
  <c r="D1511" i="2"/>
  <c r="C1511" i="2"/>
  <c r="G1511" i="2" s="1"/>
  <c r="H1511" i="2" s="1"/>
  <c r="I1511" i="2" s="1"/>
  <c r="B1511" i="2"/>
  <c r="G1510" i="2"/>
  <c r="H1510" i="2" s="1"/>
  <c r="I1510" i="2" s="1"/>
  <c r="D1510" i="2"/>
  <c r="C1510" i="2"/>
  <c r="B1510" i="2"/>
  <c r="D1509" i="2"/>
  <c r="C1509" i="2"/>
  <c r="G1509" i="2" s="1"/>
  <c r="H1509" i="2" s="1"/>
  <c r="I1509" i="2" s="1"/>
  <c r="B1509" i="2"/>
  <c r="D1508" i="2"/>
  <c r="C1508" i="2"/>
  <c r="G1508" i="2" s="1"/>
  <c r="H1508" i="2" s="1"/>
  <c r="I1508" i="2" s="1"/>
  <c r="B1508" i="2"/>
  <c r="D1507" i="2"/>
  <c r="C1507" i="2"/>
  <c r="G1507" i="2" s="1"/>
  <c r="H1507" i="2" s="1"/>
  <c r="I1507" i="2" s="1"/>
  <c r="B1507" i="2"/>
  <c r="D1506" i="2"/>
  <c r="C1506" i="2"/>
  <c r="G1506" i="2" s="1"/>
  <c r="H1506" i="2" s="1"/>
  <c r="I1506" i="2" s="1"/>
  <c r="B1506" i="2"/>
  <c r="D1505" i="2"/>
  <c r="C1505" i="2"/>
  <c r="G1505" i="2" s="1"/>
  <c r="H1505" i="2" s="1"/>
  <c r="I1505" i="2" s="1"/>
  <c r="B1505" i="2"/>
  <c r="D1504" i="2"/>
  <c r="C1504" i="2"/>
  <c r="G1504" i="2" s="1"/>
  <c r="H1504" i="2" s="1"/>
  <c r="I1504" i="2" s="1"/>
  <c r="B1504" i="2"/>
  <c r="D1503" i="2"/>
  <c r="C1503" i="2"/>
  <c r="G1503" i="2" s="1"/>
  <c r="H1503" i="2" s="1"/>
  <c r="I1503" i="2" s="1"/>
  <c r="B1503" i="2"/>
  <c r="E1502" i="2"/>
  <c r="D1502" i="2"/>
  <c r="C1502" i="2"/>
  <c r="G1502" i="2" s="1"/>
  <c r="H1502" i="2" s="1"/>
  <c r="I1502" i="2" s="1"/>
  <c r="B1502" i="2"/>
  <c r="E1501" i="2"/>
  <c r="D1501" i="2"/>
  <c r="C1501" i="2"/>
  <c r="G1501" i="2" s="1"/>
  <c r="H1501" i="2" s="1"/>
  <c r="I1501" i="2" s="1"/>
  <c r="B1501" i="2"/>
  <c r="E1500" i="2"/>
  <c r="D1500" i="2"/>
  <c r="C1500" i="2"/>
  <c r="G1500" i="2" s="1"/>
  <c r="H1500" i="2" s="1"/>
  <c r="I1500" i="2" s="1"/>
  <c r="B1500" i="2"/>
  <c r="D1499" i="2"/>
  <c r="C1499" i="2"/>
  <c r="G1499" i="2" s="1"/>
  <c r="H1499" i="2" s="1"/>
  <c r="I1499" i="2" s="1"/>
  <c r="B1499" i="2"/>
  <c r="D1498" i="2"/>
  <c r="C1498" i="2"/>
  <c r="G1498" i="2" s="1"/>
  <c r="H1498" i="2" s="1"/>
  <c r="I1498" i="2" s="1"/>
  <c r="B1498" i="2"/>
  <c r="D1497" i="2"/>
  <c r="C1497" i="2"/>
  <c r="G1497" i="2" s="1"/>
  <c r="H1497" i="2" s="1"/>
  <c r="I1497" i="2" s="1"/>
  <c r="B1497" i="2"/>
  <c r="D1496" i="2"/>
  <c r="C1496" i="2"/>
  <c r="G1496" i="2" s="1"/>
  <c r="H1496" i="2" s="1"/>
  <c r="I1496" i="2" s="1"/>
  <c r="B1496" i="2"/>
  <c r="D1495" i="2"/>
  <c r="C1495" i="2"/>
  <c r="G1495" i="2" s="1"/>
  <c r="H1495" i="2" s="1"/>
  <c r="I1495" i="2" s="1"/>
  <c r="B1495" i="2"/>
  <c r="D1494" i="2"/>
  <c r="C1494" i="2"/>
  <c r="G1494" i="2" s="1"/>
  <c r="H1494" i="2" s="1"/>
  <c r="I1494" i="2" s="1"/>
  <c r="B1494" i="2"/>
  <c r="D1493" i="2"/>
  <c r="C1493" i="2"/>
  <c r="G1493" i="2" s="1"/>
  <c r="H1493" i="2" s="1"/>
  <c r="I1493" i="2" s="1"/>
  <c r="B1493" i="2"/>
  <c r="D1492" i="2"/>
  <c r="C1492" i="2"/>
  <c r="G1492" i="2" s="1"/>
  <c r="H1492" i="2" s="1"/>
  <c r="I1492" i="2" s="1"/>
  <c r="B1492" i="2"/>
  <c r="D1491" i="2"/>
  <c r="C1491" i="2"/>
  <c r="G1491" i="2" s="1"/>
  <c r="H1491" i="2" s="1"/>
  <c r="I1491" i="2" s="1"/>
  <c r="B1491" i="2"/>
  <c r="D1490" i="2"/>
  <c r="C1490" i="2"/>
  <c r="G1490" i="2" s="1"/>
  <c r="H1490" i="2" s="1"/>
  <c r="I1490" i="2" s="1"/>
  <c r="B1490" i="2"/>
  <c r="D1489" i="2"/>
  <c r="C1489" i="2"/>
  <c r="G1489" i="2" s="1"/>
  <c r="H1489" i="2" s="1"/>
  <c r="I1489" i="2" s="1"/>
  <c r="B1489" i="2"/>
  <c r="D1488" i="2"/>
  <c r="C1488" i="2"/>
  <c r="G1488" i="2" s="1"/>
  <c r="H1488" i="2" s="1"/>
  <c r="I1488" i="2" s="1"/>
  <c r="B1488" i="2"/>
  <c r="D1487" i="2"/>
  <c r="C1487" i="2"/>
  <c r="G1487" i="2" s="1"/>
  <c r="H1487" i="2" s="1"/>
  <c r="I1487" i="2" s="1"/>
  <c r="B1487" i="2"/>
  <c r="D1486" i="2"/>
  <c r="C1486" i="2"/>
  <c r="G1486" i="2" s="1"/>
  <c r="H1486" i="2" s="1"/>
  <c r="I1486" i="2" s="1"/>
  <c r="B1486" i="2"/>
  <c r="D1485" i="2"/>
  <c r="C1485" i="2"/>
  <c r="G1485" i="2" s="1"/>
  <c r="H1485" i="2" s="1"/>
  <c r="I1485" i="2" s="1"/>
  <c r="B1485" i="2"/>
  <c r="D1484" i="2"/>
  <c r="C1484" i="2"/>
  <c r="G1484" i="2" s="1"/>
  <c r="H1484" i="2" s="1"/>
  <c r="I1484" i="2" s="1"/>
  <c r="B1484" i="2"/>
  <c r="G1483" i="2"/>
  <c r="H1483" i="2" s="1"/>
  <c r="I1483" i="2" s="1"/>
  <c r="D1483" i="2"/>
  <c r="C1483" i="2"/>
  <c r="B1483" i="2"/>
  <c r="H1482" i="2"/>
  <c r="I1482" i="2" s="1"/>
  <c r="D1482" i="2"/>
  <c r="C1482" i="2"/>
  <c r="G1482" i="2" s="1"/>
  <c r="B1482" i="2"/>
  <c r="G1481" i="2"/>
  <c r="H1481" i="2" s="1"/>
  <c r="I1481" i="2" s="1"/>
  <c r="D1481" i="2"/>
  <c r="C1481" i="2"/>
  <c r="B1481" i="2"/>
  <c r="D1480" i="2"/>
  <c r="C1480" i="2"/>
  <c r="G1480" i="2" s="1"/>
  <c r="H1480" i="2" s="1"/>
  <c r="I1480" i="2" s="1"/>
  <c r="B1480" i="2"/>
  <c r="D1479" i="2"/>
  <c r="C1479" i="2"/>
  <c r="G1479" i="2" s="1"/>
  <c r="H1479" i="2" s="1"/>
  <c r="I1479" i="2" s="1"/>
  <c r="B1479" i="2"/>
  <c r="D1478" i="2"/>
  <c r="C1478" i="2"/>
  <c r="G1478" i="2" s="1"/>
  <c r="H1478" i="2" s="1"/>
  <c r="I1478" i="2" s="1"/>
  <c r="B1478" i="2"/>
  <c r="D1477" i="2"/>
  <c r="C1477" i="2"/>
  <c r="G1477" i="2" s="1"/>
  <c r="H1477" i="2" s="1"/>
  <c r="I1477" i="2" s="1"/>
  <c r="B1477" i="2"/>
  <c r="D1476" i="2"/>
  <c r="C1476" i="2"/>
  <c r="G1476" i="2" s="1"/>
  <c r="H1476" i="2" s="1"/>
  <c r="I1476" i="2" s="1"/>
  <c r="B1476" i="2"/>
  <c r="D1475" i="2"/>
  <c r="C1475" i="2"/>
  <c r="G1475" i="2" s="1"/>
  <c r="H1475" i="2" s="1"/>
  <c r="I1475" i="2" s="1"/>
  <c r="B1475" i="2"/>
  <c r="D1474" i="2"/>
  <c r="C1474" i="2"/>
  <c r="G1474" i="2" s="1"/>
  <c r="H1474" i="2" s="1"/>
  <c r="I1474" i="2" s="1"/>
  <c r="B1474" i="2"/>
  <c r="D1473" i="2"/>
  <c r="C1473" i="2"/>
  <c r="G1473" i="2" s="1"/>
  <c r="H1473" i="2" s="1"/>
  <c r="I1473" i="2" s="1"/>
  <c r="B1473" i="2"/>
  <c r="D1472" i="2"/>
  <c r="C1472" i="2"/>
  <c r="G1472" i="2" s="1"/>
  <c r="H1472" i="2" s="1"/>
  <c r="I1472" i="2" s="1"/>
  <c r="B1472" i="2"/>
  <c r="D1471" i="2"/>
  <c r="C1471" i="2"/>
  <c r="G1471" i="2" s="1"/>
  <c r="H1471" i="2" s="1"/>
  <c r="I1471" i="2" s="1"/>
  <c r="B1471" i="2"/>
  <c r="D1470" i="2"/>
  <c r="C1470" i="2"/>
  <c r="G1470" i="2" s="1"/>
  <c r="H1470" i="2" s="1"/>
  <c r="I1470" i="2" s="1"/>
  <c r="B1470" i="2"/>
  <c r="D1469" i="2"/>
  <c r="C1469" i="2"/>
  <c r="G1469" i="2" s="1"/>
  <c r="H1469" i="2" s="1"/>
  <c r="I1469" i="2" s="1"/>
  <c r="B1469" i="2"/>
  <c r="D1468" i="2"/>
  <c r="C1468" i="2"/>
  <c r="G1468" i="2" s="1"/>
  <c r="H1468" i="2" s="1"/>
  <c r="I1468" i="2" s="1"/>
  <c r="B1468" i="2"/>
  <c r="D1467" i="2"/>
  <c r="C1467" i="2"/>
  <c r="G1467" i="2" s="1"/>
  <c r="H1467" i="2" s="1"/>
  <c r="I1467" i="2" s="1"/>
  <c r="B1467" i="2"/>
  <c r="D1466" i="2"/>
  <c r="C1466" i="2"/>
  <c r="G1466" i="2" s="1"/>
  <c r="H1466" i="2" s="1"/>
  <c r="I1466" i="2" s="1"/>
  <c r="B1466" i="2"/>
  <c r="D1465" i="2"/>
  <c r="C1465" i="2"/>
  <c r="G1465" i="2" s="1"/>
  <c r="H1465" i="2" s="1"/>
  <c r="I1465" i="2" s="1"/>
  <c r="B1465" i="2"/>
  <c r="D1464" i="2"/>
  <c r="C1464" i="2"/>
  <c r="G1464" i="2" s="1"/>
  <c r="H1464" i="2" s="1"/>
  <c r="I1464" i="2" s="1"/>
  <c r="B1464" i="2"/>
  <c r="D1463" i="2"/>
  <c r="C1463" i="2"/>
  <c r="G1463" i="2" s="1"/>
  <c r="H1463" i="2" s="1"/>
  <c r="I1463" i="2" s="1"/>
  <c r="B1463" i="2"/>
  <c r="D1462" i="2"/>
  <c r="C1462" i="2"/>
  <c r="G1462" i="2" s="1"/>
  <c r="H1462" i="2" s="1"/>
  <c r="I1462" i="2" s="1"/>
  <c r="B1462" i="2"/>
  <c r="D1461" i="2"/>
  <c r="C1461" i="2"/>
  <c r="G1461" i="2" s="1"/>
  <c r="H1461" i="2" s="1"/>
  <c r="I1461" i="2" s="1"/>
  <c r="B1461" i="2"/>
  <c r="D1460" i="2"/>
  <c r="C1460" i="2"/>
  <c r="G1460" i="2" s="1"/>
  <c r="H1460" i="2" s="1"/>
  <c r="I1460" i="2" s="1"/>
  <c r="B1460" i="2"/>
  <c r="G1459" i="2"/>
  <c r="H1459" i="2" s="1"/>
  <c r="I1459" i="2" s="1"/>
  <c r="D1459" i="2"/>
  <c r="C1459" i="2"/>
  <c r="B1459" i="2"/>
  <c r="H1458" i="2"/>
  <c r="I1458" i="2" s="1"/>
  <c r="D1458" i="2"/>
  <c r="C1458" i="2"/>
  <c r="G1458" i="2" s="1"/>
  <c r="B1458" i="2"/>
  <c r="G1457" i="2"/>
  <c r="H1457" i="2" s="1"/>
  <c r="I1457" i="2" s="1"/>
  <c r="D1457" i="2"/>
  <c r="C1457" i="2"/>
  <c r="B1457" i="2"/>
  <c r="D1456" i="2"/>
  <c r="C1456" i="2"/>
  <c r="G1456" i="2" s="1"/>
  <c r="H1456" i="2" s="1"/>
  <c r="I1456" i="2" s="1"/>
  <c r="B1456" i="2"/>
  <c r="D1455" i="2"/>
  <c r="C1455" i="2"/>
  <c r="G1455" i="2" s="1"/>
  <c r="H1455" i="2" s="1"/>
  <c r="I1455" i="2" s="1"/>
  <c r="B1455" i="2"/>
  <c r="D1454" i="2"/>
  <c r="C1454" i="2"/>
  <c r="G1454" i="2" s="1"/>
  <c r="H1454" i="2" s="1"/>
  <c r="I1454" i="2" s="1"/>
  <c r="B1454" i="2"/>
  <c r="D1453" i="2"/>
  <c r="C1453" i="2"/>
  <c r="G1453" i="2" s="1"/>
  <c r="H1453" i="2" s="1"/>
  <c r="I1453" i="2" s="1"/>
  <c r="B1453" i="2"/>
  <c r="D1452" i="2"/>
  <c r="C1452" i="2"/>
  <c r="G1452" i="2" s="1"/>
  <c r="H1452" i="2" s="1"/>
  <c r="I1452" i="2" s="1"/>
  <c r="B1452" i="2"/>
  <c r="D1451" i="2"/>
  <c r="C1451" i="2"/>
  <c r="G1451" i="2" s="1"/>
  <c r="H1451" i="2" s="1"/>
  <c r="I1451" i="2" s="1"/>
  <c r="B1451" i="2"/>
  <c r="D1450" i="2"/>
  <c r="C1450" i="2"/>
  <c r="G1450" i="2" s="1"/>
  <c r="H1450" i="2" s="1"/>
  <c r="I1450" i="2" s="1"/>
  <c r="B1450" i="2"/>
  <c r="D1449" i="2"/>
  <c r="C1449" i="2"/>
  <c r="G1449" i="2" s="1"/>
  <c r="H1449" i="2" s="1"/>
  <c r="I1449" i="2" s="1"/>
  <c r="B1449" i="2"/>
  <c r="D1448" i="2"/>
  <c r="C1448" i="2"/>
  <c r="G1448" i="2" s="1"/>
  <c r="H1448" i="2" s="1"/>
  <c r="I1448" i="2" s="1"/>
  <c r="B1448" i="2"/>
  <c r="D1447" i="2"/>
  <c r="C1447" i="2"/>
  <c r="G1447" i="2" s="1"/>
  <c r="H1447" i="2" s="1"/>
  <c r="I1447" i="2" s="1"/>
  <c r="B1447" i="2"/>
  <c r="D1446" i="2"/>
  <c r="C1446" i="2"/>
  <c r="G1446" i="2" s="1"/>
  <c r="H1446" i="2" s="1"/>
  <c r="I1446" i="2" s="1"/>
  <c r="B1446" i="2"/>
  <c r="D1445" i="2"/>
  <c r="C1445" i="2"/>
  <c r="G1445" i="2" s="1"/>
  <c r="H1445" i="2" s="1"/>
  <c r="I1445" i="2" s="1"/>
  <c r="B1445" i="2"/>
  <c r="D1444" i="2"/>
  <c r="C1444" i="2"/>
  <c r="G1444" i="2" s="1"/>
  <c r="H1444" i="2" s="1"/>
  <c r="I1444" i="2" s="1"/>
  <c r="B1444" i="2"/>
  <c r="D1443" i="2"/>
  <c r="C1443" i="2"/>
  <c r="G1443" i="2" s="1"/>
  <c r="H1443" i="2" s="1"/>
  <c r="I1443" i="2" s="1"/>
  <c r="B1443" i="2"/>
  <c r="D1442" i="2"/>
  <c r="C1442" i="2"/>
  <c r="G1442" i="2" s="1"/>
  <c r="H1442" i="2" s="1"/>
  <c r="I1442" i="2" s="1"/>
  <c r="B1442" i="2"/>
  <c r="D1441" i="2"/>
  <c r="C1441" i="2"/>
  <c r="G1441" i="2" s="1"/>
  <c r="H1441" i="2" s="1"/>
  <c r="I1441" i="2" s="1"/>
  <c r="B1441" i="2"/>
  <c r="D1440" i="2"/>
  <c r="C1440" i="2"/>
  <c r="G1440" i="2" s="1"/>
  <c r="H1440" i="2" s="1"/>
  <c r="I1440" i="2" s="1"/>
  <c r="B1440" i="2"/>
  <c r="D1439" i="2"/>
  <c r="C1439" i="2"/>
  <c r="G1439" i="2" s="1"/>
  <c r="H1439" i="2" s="1"/>
  <c r="I1439" i="2" s="1"/>
  <c r="B1439" i="2"/>
  <c r="D1438" i="2"/>
  <c r="C1438" i="2"/>
  <c r="G1438" i="2" s="1"/>
  <c r="H1438" i="2" s="1"/>
  <c r="I1438" i="2" s="1"/>
  <c r="B1438" i="2"/>
  <c r="D1437" i="2"/>
  <c r="C1437" i="2"/>
  <c r="G1437" i="2" s="1"/>
  <c r="H1437" i="2" s="1"/>
  <c r="I1437" i="2" s="1"/>
  <c r="B1437" i="2"/>
  <c r="D1436" i="2"/>
  <c r="C1436" i="2"/>
  <c r="G1436" i="2" s="1"/>
  <c r="H1436" i="2" s="1"/>
  <c r="I1436" i="2" s="1"/>
  <c r="B1436" i="2"/>
  <c r="D1435" i="2"/>
  <c r="C1435" i="2"/>
  <c r="G1435" i="2" s="1"/>
  <c r="H1435" i="2" s="1"/>
  <c r="I1435" i="2" s="1"/>
  <c r="B1435" i="2"/>
  <c r="D1434" i="2"/>
  <c r="C1434" i="2"/>
  <c r="G1434" i="2" s="1"/>
  <c r="H1434" i="2" s="1"/>
  <c r="I1434" i="2" s="1"/>
  <c r="B1434" i="2"/>
  <c r="D1433" i="2"/>
  <c r="C1433" i="2"/>
  <c r="G1433" i="2" s="1"/>
  <c r="H1433" i="2" s="1"/>
  <c r="I1433" i="2" s="1"/>
  <c r="B1433" i="2"/>
  <c r="D1432" i="2"/>
  <c r="C1432" i="2"/>
  <c r="G1432" i="2" s="1"/>
  <c r="H1432" i="2" s="1"/>
  <c r="I1432" i="2" s="1"/>
  <c r="B1432" i="2"/>
  <c r="D1431" i="2"/>
  <c r="C1431" i="2"/>
  <c r="G1431" i="2" s="1"/>
  <c r="H1431" i="2" s="1"/>
  <c r="I1431" i="2" s="1"/>
  <c r="B1431" i="2"/>
  <c r="D1430" i="2"/>
  <c r="C1430" i="2"/>
  <c r="G1430" i="2" s="1"/>
  <c r="H1430" i="2" s="1"/>
  <c r="I1430" i="2" s="1"/>
  <c r="B1430" i="2"/>
  <c r="D1429" i="2"/>
  <c r="C1429" i="2"/>
  <c r="G1429" i="2" s="1"/>
  <c r="H1429" i="2" s="1"/>
  <c r="I1429" i="2" s="1"/>
  <c r="B1429" i="2"/>
  <c r="D1428" i="2"/>
  <c r="C1428" i="2"/>
  <c r="G1428" i="2" s="1"/>
  <c r="H1428" i="2" s="1"/>
  <c r="I1428" i="2" s="1"/>
  <c r="B1428" i="2"/>
  <c r="D1427" i="2"/>
  <c r="C1427" i="2"/>
  <c r="G1427" i="2" s="1"/>
  <c r="H1427" i="2" s="1"/>
  <c r="I1427" i="2" s="1"/>
  <c r="B1427" i="2"/>
  <c r="D1426" i="2"/>
  <c r="C1426" i="2"/>
  <c r="G1426" i="2" s="1"/>
  <c r="H1426" i="2" s="1"/>
  <c r="I1426" i="2" s="1"/>
  <c r="B1426" i="2"/>
  <c r="D1425" i="2"/>
  <c r="C1425" i="2"/>
  <c r="G1425" i="2" s="1"/>
  <c r="H1425" i="2" s="1"/>
  <c r="I1425" i="2" s="1"/>
  <c r="B1425" i="2"/>
  <c r="D1424" i="2"/>
  <c r="C1424" i="2"/>
  <c r="G1424" i="2" s="1"/>
  <c r="H1424" i="2" s="1"/>
  <c r="I1424" i="2" s="1"/>
  <c r="B1424" i="2"/>
  <c r="D1423" i="2"/>
  <c r="C1423" i="2"/>
  <c r="G1423" i="2" s="1"/>
  <c r="H1423" i="2" s="1"/>
  <c r="I1423" i="2" s="1"/>
  <c r="B1423" i="2"/>
  <c r="D1422" i="2"/>
  <c r="C1422" i="2"/>
  <c r="G1422" i="2" s="1"/>
  <c r="H1422" i="2" s="1"/>
  <c r="I1422" i="2" s="1"/>
  <c r="B1422" i="2"/>
  <c r="D1421" i="2"/>
  <c r="C1421" i="2"/>
  <c r="G1421" i="2" s="1"/>
  <c r="H1421" i="2" s="1"/>
  <c r="I1421" i="2" s="1"/>
  <c r="B1421" i="2"/>
  <c r="D1420" i="2"/>
  <c r="C1420" i="2"/>
  <c r="G1420" i="2" s="1"/>
  <c r="H1420" i="2" s="1"/>
  <c r="I1420" i="2" s="1"/>
  <c r="B1420" i="2"/>
  <c r="D1419" i="2"/>
  <c r="C1419" i="2"/>
  <c r="G1419" i="2" s="1"/>
  <c r="H1419" i="2" s="1"/>
  <c r="I1419" i="2" s="1"/>
  <c r="B1419" i="2"/>
  <c r="D1418" i="2"/>
  <c r="C1418" i="2"/>
  <c r="G1418" i="2" s="1"/>
  <c r="H1418" i="2" s="1"/>
  <c r="I1418" i="2" s="1"/>
  <c r="B1418" i="2"/>
  <c r="D1417" i="2"/>
  <c r="C1417" i="2"/>
  <c r="G1417" i="2" s="1"/>
  <c r="H1417" i="2" s="1"/>
  <c r="I1417" i="2" s="1"/>
  <c r="B1417" i="2"/>
  <c r="D1416" i="2"/>
  <c r="C1416" i="2"/>
  <c r="G1416" i="2" s="1"/>
  <c r="H1416" i="2" s="1"/>
  <c r="I1416" i="2" s="1"/>
  <c r="B1416" i="2"/>
  <c r="D1415" i="2"/>
  <c r="C1415" i="2"/>
  <c r="G1415" i="2" s="1"/>
  <c r="H1415" i="2" s="1"/>
  <c r="I1415" i="2" s="1"/>
  <c r="B1415" i="2"/>
  <c r="D1414" i="2"/>
  <c r="C1414" i="2"/>
  <c r="G1414" i="2" s="1"/>
  <c r="H1414" i="2" s="1"/>
  <c r="I1414" i="2" s="1"/>
  <c r="B1414" i="2"/>
  <c r="D1413" i="2"/>
  <c r="C1413" i="2"/>
  <c r="G1413" i="2" s="1"/>
  <c r="H1413" i="2" s="1"/>
  <c r="I1413" i="2" s="1"/>
  <c r="B1413" i="2"/>
  <c r="D1412" i="2"/>
  <c r="C1412" i="2"/>
  <c r="G1412" i="2" s="1"/>
  <c r="H1412" i="2" s="1"/>
  <c r="I1412" i="2" s="1"/>
  <c r="B1412" i="2"/>
  <c r="D1411" i="2"/>
  <c r="C1411" i="2"/>
  <c r="G1411" i="2" s="1"/>
  <c r="H1411" i="2" s="1"/>
  <c r="I1411" i="2" s="1"/>
  <c r="B1411" i="2"/>
  <c r="D1410" i="2"/>
  <c r="C1410" i="2"/>
  <c r="G1410" i="2" s="1"/>
  <c r="H1410" i="2" s="1"/>
  <c r="I1410" i="2" s="1"/>
  <c r="B1410" i="2"/>
  <c r="D1409" i="2"/>
  <c r="C1409" i="2"/>
  <c r="G1409" i="2" s="1"/>
  <c r="H1409" i="2" s="1"/>
  <c r="I1409" i="2" s="1"/>
  <c r="B1409" i="2"/>
  <c r="D1408" i="2"/>
  <c r="C1408" i="2"/>
  <c r="G1408" i="2" s="1"/>
  <c r="H1408" i="2" s="1"/>
  <c r="I1408" i="2" s="1"/>
  <c r="B1408" i="2"/>
  <c r="D1407" i="2"/>
  <c r="C1407" i="2"/>
  <c r="G1407" i="2" s="1"/>
  <c r="H1407" i="2" s="1"/>
  <c r="I1407" i="2" s="1"/>
  <c r="B1407" i="2"/>
  <c r="D1406" i="2"/>
  <c r="C1406" i="2"/>
  <c r="G1406" i="2" s="1"/>
  <c r="H1406" i="2" s="1"/>
  <c r="I1406" i="2" s="1"/>
  <c r="B1406" i="2"/>
  <c r="D1405" i="2"/>
  <c r="C1405" i="2"/>
  <c r="G1405" i="2" s="1"/>
  <c r="H1405" i="2" s="1"/>
  <c r="I1405" i="2" s="1"/>
  <c r="B1405" i="2"/>
  <c r="D1404" i="2"/>
  <c r="C1404" i="2"/>
  <c r="G1404" i="2" s="1"/>
  <c r="H1404" i="2" s="1"/>
  <c r="I1404" i="2" s="1"/>
  <c r="B1404" i="2"/>
  <c r="D1403" i="2"/>
  <c r="C1403" i="2"/>
  <c r="G1403" i="2" s="1"/>
  <c r="H1403" i="2" s="1"/>
  <c r="I1403" i="2" s="1"/>
  <c r="B1403" i="2"/>
  <c r="D1402" i="2"/>
  <c r="C1402" i="2"/>
  <c r="G1402" i="2" s="1"/>
  <c r="H1402" i="2" s="1"/>
  <c r="I1402" i="2" s="1"/>
  <c r="B1402" i="2"/>
  <c r="D1401" i="2"/>
  <c r="C1401" i="2"/>
  <c r="G1401" i="2" s="1"/>
  <c r="H1401" i="2" s="1"/>
  <c r="I1401" i="2" s="1"/>
  <c r="B1401" i="2"/>
  <c r="D1400" i="2"/>
  <c r="C1400" i="2"/>
  <c r="G1400" i="2" s="1"/>
  <c r="H1400" i="2" s="1"/>
  <c r="I1400" i="2" s="1"/>
  <c r="B1400" i="2"/>
  <c r="D1399" i="2"/>
  <c r="C1399" i="2"/>
  <c r="G1399" i="2" s="1"/>
  <c r="H1399" i="2" s="1"/>
  <c r="I1399" i="2" s="1"/>
  <c r="B1399" i="2"/>
  <c r="D1398" i="2"/>
  <c r="C1398" i="2"/>
  <c r="G1398" i="2" s="1"/>
  <c r="H1398" i="2" s="1"/>
  <c r="I1398" i="2" s="1"/>
  <c r="B1398" i="2"/>
  <c r="D1397" i="2"/>
  <c r="C1397" i="2"/>
  <c r="G1397" i="2" s="1"/>
  <c r="H1397" i="2" s="1"/>
  <c r="I1397" i="2" s="1"/>
  <c r="B1397" i="2"/>
  <c r="D1396" i="2"/>
  <c r="C1396" i="2"/>
  <c r="G1396" i="2" s="1"/>
  <c r="H1396" i="2" s="1"/>
  <c r="I1396" i="2" s="1"/>
  <c r="B1396" i="2"/>
  <c r="D1395" i="2"/>
  <c r="C1395" i="2"/>
  <c r="G1395" i="2" s="1"/>
  <c r="H1395" i="2" s="1"/>
  <c r="I1395" i="2" s="1"/>
  <c r="B1395" i="2"/>
  <c r="D1394" i="2"/>
  <c r="C1394" i="2"/>
  <c r="G1394" i="2" s="1"/>
  <c r="H1394" i="2" s="1"/>
  <c r="I1394" i="2" s="1"/>
  <c r="B1394" i="2"/>
  <c r="D1393" i="2"/>
  <c r="C1393" i="2"/>
  <c r="G1393" i="2" s="1"/>
  <c r="H1393" i="2" s="1"/>
  <c r="I1393" i="2" s="1"/>
  <c r="B1393" i="2"/>
  <c r="D1392" i="2"/>
  <c r="C1392" i="2"/>
  <c r="G1392" i="2" s="1"/>
  <c r="H1392" i="2" s="1"/>
  <c r="I1392" i="2" s="1"/>
  <c r="B1392" i="2"/>
  <c r="D1391" i="2"/>
  <c r="C1391" i="2"/>
  <c r="G1391" i="2" s="1"/>
  <c r="H1391" i="2" s="1"/>
  <c r="I1391" i="2" s="1"/>
  <c r="B1391" i="2"/>
  <c r="D1390" i="2"/>
  <c r="C1390" i="2"/>
  <c r="G1390" i="2" s="1"/>
  <c r="H1390" i="2" s="1"/>
  <c r="I1390" i="2" s="1"/>
  <c r="B1390" i="2"/>
  <c r="D1389" i="2"/>
  <c r="C1389" i="2"/>
  <c r="G1389" i="2" s="1"/>
  <c r="H1389" i="2" s="1"/>
  <c r="I1389" i="2" s="1"/>
  <c r="B1389" i="2"/>
  <c r="D1388" i="2"/>
  <c r="C1388" i="2"/>
  <c r="G1388" i="2" s="1"/>
  <c r="H1388" i="2" s="1"/>
  <c r="I1388" i="2" s="1"/>
  <c r="B1388" i="2"/>
  <c r="D1387" i="2"/>
  <c r="C1387" i="2"/>
  <c r="G1387" i="2" s="1"/>
  <c r="H1387" i="2" s="1"/>
  <c r="I1387" i="2" s="1"/>
  <c r="B1387" i="2"/>
  <c r="D1386" i="2"/>
  <c r="C1386" i="2"/>
  <c r="G1386" i="2" s="1"/>
  <c r="H1386" i="2" s="1"/>
  <c r="I1386" i="2" s="1"/>
  <c r="B1386" i="2"/>
  <c r="D1385" i="2"/>
  <c r="C1385" i="2"/>
  <c r="G1385" i="2" s="1"/>
  <c r="H1385" i="2" s="1"/>
  <c r="I1385" i="2" s="1"/>
  <c r="B1385" i="2"/>
  <c r="D1384" i="2"/>
  <c r="C1384" i="2"/>
  <c r="G1384" i="2" s="1"/>
  <c r="H1384" i="2" s="1"/>
  <c r="I1384" i="2" s="1"/>
  <c r="B1384" i="2"/>
  <c r="D1383" i="2"/>
  <c r="C1383" i="2"/>
  <c r="G1383" i="2" s="1"/>
  <c r="H1383" i="2" s="1"/>
  <c r="I1383" i="2" s="1"/>
  <c r="B1383" i="2"/>
  <c r="D1382" i="2"/>
  <c r="C1382" i="2"/>
  <c r="G1382" i="2" s="1"/>
  <c r="H1382" i="2" s="1"/>
  <c r="I1382" i="2" s="1"/>
  <c r="B1382" i="2"/>
  <c r="D1381" i="2"/>
  <c r="C1381" i="2"/>
  <c r="G1381" i="2" s="1"/>
  <c r="H1381" i="2" s="1"/>
  <c r="I1381" i="2" s="1"/>
  <c r="B1381" i="2"/>
  <c r="D1380" i="2"/>
  <c r="C1380" i="2"/>
  <c r="G1380" i="2" s="1"/>
  <c r="H1380" i="2" s="1"/>
  <c r="I1380" i="2" s="1"/>
  <c r="B1380" i="2"/>
  <c r="D1379" i="2"/>
  <c r="C1379" i="2"/>
  <c r="G1379" i="2" s="1"/>
  <c r="H1379" i="2" s="1"/>
  <c r="I1379" i="2" s="1"/>
  <c r="B1379" i="2"/>
  <c r="D1378" i="2"/>
  <c r="C1378" i="2"/>
  <c r="G1378" i="2" s="1"/>
  <c r="H1378" i="2" s="1"/>
  <c r="I1378" i="2" s="1"/>
  <c r="B1378" i="2"/>
  <c r="D1377" i="2"/>
  <c r="C1377" i="2"/>
  <c r="G1377" i="2" s="1"/>
  <c r="H1377" i="2" s="1"/>
  <c r="I1377" i="2" s="1"/>
  <c r="B1377" i="2"/>
  <c r="D1376" i="2"/>
  <c r="C1376" i="2"/>
  <c r="G1376" i="2" s="1"/>
  <c r="H1376" i="2" s="1"/>
  <c r="I1376" i="2" s="1"/>
  <c r="B1376" i="2"/>
  <c r="D1375" i="2"/>
  <c r="C1375" i="2"/>
  <c r="G1375" i="2" s="1"/>
  <c r="H1375" i="2" s="1"/>
  <c r="I1375" i="2" s="1"/>
  <c r="B1375" i="2"/>
  <c r="D1374" i="2"/>
  <c r="C1374" i="2"/>
  <c r="G1374" i="2" s="1"/>
  <c r="H1374" i="2" s="1"/>
  <c r="I1374" i="2" s="1"/>
  <c r="B1374" i="2"/>
  <c r="D1373" i="2"/>
  <c r="C1373" i="2"/>
  <c r="G1373" i="2" s="1"/>
  <c r="H1373" i="2" s="1"/>
  <c r="I1373" i="2" s="1"/>
  <c r="B1373" i="2"/>
  <c r="D1372" i="2"/>
  <c r="C1372" i="2"/>
  <c r="G1372" i="2" s="1"/>
  <c r="H1372" i="2" s="1"/>
  <c r="I1372" i="2" s="1"/>
  <c r="B1372" i="2"/>
  <c r="D1371" i="2"/>
  <c r="C1371" i="2"/>
  <c r="G1371" i="2" s="1"/>
  <c r="H1371" i="2" s="1"/>
  <c r="I1371" i="2" s="1"/>
  <c r="B1371" i="2"/>
  <c r="D1370" i="2"/>
  <c r="C1370" i="2"/>
  <c r="G1370" i="2" s="1"/>
  <c r="H1370" i="2" s="1"/>
  <c r="I1370" i="2" s="1"/>
  <c r="B1370" i="2"/>
  <c r="D1369" i="2"/>
  <c r="C1369" i="2"/>
  <c r="G1369" i="2" s="1"/>
  <c r="H1369" i="2" s="1"/>
  <c r="I1369" i="2" s="1"/>
  <c r="B1369" i="2"/>
  <c r="D1368" i="2"/>
  <c r="C1368" i="2"/>
  <c r="G1368" i="2" s="1"/>
  <c r="H1368" i="2" s="1"/>
  <c r="I1368" i="2" s="1"/>
  <c r="B1368" i="2"/>
  <c r="D1367" i="2"/>
  <c r="C1367" i="2"/>
  <c r="G1367" i="2" s="1"/>
  <c r="H1367" i="2" s="1"/>
  <c r="I1367" i="2" s="1"/>
  <c r="B1367" i="2"/>
  <c r="D1366" i="2"/>
  <c r="C1366" i="2"/>
  <c r="G1366" i="2" s="1"/>
  <c r="H1366" i="2" s="1"/>
  <c r="I1366" i="2" s="1"/>
  <c r="B1366" i="2"/>
  <c r="D1365" i="2"/>
  <c r="C1365" i="2"/>
  <c r="G1365" i="2" s="1"/>
  <c r="H1365" i="2" s="1"/>
  <c r="I1365" i="2" s="1"/>
  <c r="B1365" i="2"/>
  <c r="D1364" i="2"/>
  <c r="C1364" i="2"/>
  <c r="G1364" i="2" s="1"/>
  <c r="H1364" i="2" s="1"/>
  <c r="I1364" i="2" s="1"/>
  <c r="B1364" i="2"/>
  <c r="D1363" i="2"/>
  <c r="C1363" i="2"/>
  <c r="G1363" i="2" s="1"/>
  <c r="H1363" i="2" s="1"/>
  <c r="I1363" i="2" s="1"/>
  <c r="B1363" i="2"/>
  <c r="D1362" i="2"/>
  <c r="C1362" i="2"/>
  <c r="G1362" i="2" s="1"/>
  <c r="H1362" i="2" s="1"/>
  <c r="I1362" i="2" s="1"/>
  <c r="B1362" i="2"/>
  <c r="D1361" i="2"/>
  <c r="C1361" i="2"/>
  <c r="G1361" i="2" s="1"/>
  <c r="H1361" i="2" s="1"/>
  <c r="I1361" i="2" s="1"/>
  <c r="B1361" i="2"/>
  <c r="D1360" i="2"/>
  <c r="C1360" i="2"/>
  <c r="G1360" i="2" s="1"/>
  <c r="H1360" i="2" s="1"/>
  <c r="I1360" i="2" s="1"/>
  <c r="B1360" i="2"/>
  <c r="D1359" i="2"/>
  <c r="C1359" i="2"/>
  <c r="G1359" i="2" s="1"/>
  <c r="H1359" i="2" s="1"/>
  <c r="I1359" i="2" s="1"/>
  <c r="B1359" i="2"/>
  <c r="D1358" i="2"/>
  <c r="C1358" i="2"/>
  <c r="G1358" i="2" s="1"/>
  <c r="H1358" i="2" s="1"/>
  <c r="I1358" i="2" s="1"/>
  <c r="B1358" i="2"/>
  <c r="D1357" i="2"/>
  <c r="C1357" i="2"/>
  <c r="G1357" i="2" s="1"/>
  <c r="H1357" i="2" s="1"/>
  <c r="I1357" i="2" s="1"/>
  <c r="B1357" i="2"/>
  <c r="D1356" i="2"/>
  <c r="C1356" i="2"/>
  <c r="G1356" i="2" s="1"/>
  <c r="H1356" i="2" s="1"/>
  <c r="I1356" i="2" s="1"/>
  <c r="B1356" i="2"/>
  <c r="D1355" i="2"/>
  <c r="C1355" i="2"/>
  <c r="G1355" i="2" s="1"/>
  <c r="H1355" i="2" s="1"/>
  <c r="I1355" i="2" s="1"/>
  <c r="B1355" i="2"/>
  <c r="D1354" i="2"/>
  <c r="C1354" i="2"/>
  <c r="G1354" i="2" s="1"/>
  <c r="H1354" i="2" s="1"/>
  <c r="I1354" i="2" s="1"/>
  <c r="B1354" i="2"/>
  <c r="D1353" i="2"/>
  <c r="C1353" i="2"/>
  <c r="G1353" i="2" s="1"/>
  <c r="H1353" i="2" s="1"/>
  <c r="I1353" i="2" s="1"/>
  <c r="B1353" i="2"/>
  <c r="D1352" i="2"/>
  <c r="C1352" i="2"/>
  <c r="G1352" i="2" s="1"/>
  <c r="H1352" i="2" s="1"/>
  <c r="I1352" i="2" s="1"/>
  <c r="B1352" i="2"/>
  <c r="D1351" i="2"/>
  <c r="C1351" i="2"/>
  <c r="G1351" i="2" s="1"/>
  <c r="H1351" i="2" s="1"/>
  <c r="I1351" i="2" s="1"/>
  <c r="B1351" i="2"/>
  <c r="D1350" i="2"/>
  <c r="C1350" i="2"/>
  <c r="G1350" i="2" s="1"/>
  <c r="H1350" i="2" s="1"/>
  <c r="I1350" i="2" s="1"/>
  <c r="B1350" i="2"/>
  <c r="D1349" i="2"/>
  <c r="C1349" i="2"/>
  <c r="G1349" i="2" s="1"/>
  <c r="H1349" i="2" s="1"/>
  <c r="I1349" i="2" s="1"/>
  <c r="B1349" i="2"/>
  <c r="D1348" i="2"/>
  <c r="C1348" i="2"/>
  <c r="G1348" i="2" s="1"/>
  <c r="H1348" i="2" s="1"/>
  <c r="I1348" i="2" s="1"/>
  <c r="B1348" i="2"/>
  <c r="D1347" i="2"/>
  <c r="C1347" i="2"/>
  <c r="G1347" i="2" s="1"/>
  <c r="H1347" i="2" s="1"/>
  <c r="I1347" i="2" s="1"/>
  <c r="B1347" i="2"/>
  <c r="D1346" i="2"/>
  <c r="C1346" i="2"/>
  <c r="G1346" i="2" s="1"/>
  <c r="H1346" i="2" s="1"/>
  <c r="I1346" i="2" s="1"/>
  <c r="B1346" i="2"/>
  <c r="D1345" i="2"/>
  <c r="C1345" i="2"/>
  <c r="G1345" i="2" s="1"/>
  <c r="H1345" i="2" s="1"/>
  <c r="I1345" i="2" s="1"/>
  <c r="B1345" i="2"/>
  <c r="D1344" i="2"/>
  <c r="C1344" i="2"/>
  <c r="G1344" i="2" s="1"/>
  <c r="H1344" i="2" s="1"/>
  <c r="I1344" i="2" s="1"/>
  <c r="B1344" i="2"/>
  <c r="D1343" i="2"/>
  <c r="C1343" i="2"/>
  <c r="G1343" i="2" s="1"/>
  <c r="H1343" i="2" s="1"/>
  <c r="I1343" i="2" s="1"/>
  <c r="B1343" i="2"/>
  <c r="D1342" i="2"/>
  <c r="C1342" i="2"/>
  <c r="G1342" i="2" s="1"/>
  <c r="H1342" i="2" s="1"/>
  <c r="I1342" i="2" s="1"/>
  <c r="B1342" i="2"/>
  <c r="D1341" i="2"/>
  <c r="C1341" i="2"/>
  <c r="G1341" i="2" s="1"/>
  <c r="H1341" i="2" s="1"/>
  <c r="I1341" i="2" s="1"/>
  <c r="B1341" i="2"/>
  <c r="D1340" i="2"/>
  <c r="C1340" i="2"/>
  <c r="G1340" i="2" s="1"/>
  <c r="H1340" i="2" s="1"/>
  <c r="I1340" i="2" s="1"/>
  <c r="B1340" i="2"/>
  <c r="D1339" i="2"/>
  <c r="C1339" i="2"/>
  <c r="G1339" i="2" s="1"/>
  <c r="H1339" i="2" s="1"/>
  <c r="I1339" i="2" s="1"/>
  <c r="B1339" i="2"/>
  <c r="D1338" i="2"/>
  <c r="C1338" i="2"/>
  <c r="G1338" i="2" s="1"/>
  <c r="H1338" i="2" s="1"/>
  <c r="I1338" i="2" s="1"/>
  <c r="B1338" i="2"/>
  <c r="D1337" i="2"/>
  <c r="C1337" i="2"/>
  <c r="G1337" i="2" s="1"/>
  <c r="H1337" i="2" s="1"/>
  <c r="I1337" i="2" s="1"/>
  <c r="B1337" i="2"/>
  <c r="D1336" i="2"/>
  <c r="C1336" i="2"/>
  <c r="G1336" i="2" s="1"/>
  <c r="H1336" i="2" s="1"/>
  <c r="I1336" i="2" s="1"/>
  <c r="B1336" i="2"/>
  <c r="D1335" i="2"/>
  <c r="C1335" i="2"/>
  <c r="G1335" i="2" s="1"/>
  <c r="H1335" i="2" s="1"/>
  <c r="I1335" i="2" s="1"/>
  <c r="B1335" i="2"/>
  <c r="E1334" i="2"/>
  <c r="D1334" i="2"/>
  <c r="C1334" i="2"/>
  <c r="G1334" i="2" s="1"/>
  <c r="H1334" i="2" s="1"/>
  <c r="I1334" i="2" s="1"/>
  <c r="B1334" i="2"/>
  <c r="E1333" i="2"/>
  <c r="D1333" i="2"/>
  <c r="C1333" i="2"/>
  <c r="G1333" i="2" s="1"/>
  <c r="H1333" i="2" s="1"/>
  <c r="I1333" i="2" s="1"/>
  <c r="B1333" i="2"/>
  <c r="E1332" i="2"/>
  <c r="D1332" i="2"/>
  <c r="C1332" i="2"/>
  <c r="G1332" i="2" s="1"/>
  <c r="H1332" i="2" s="1"/>
  <c r="I1332" i="2" s="1"/>
  <c r="B1332" i="2"/>
  <c r="D1331" i="2"/>
  <c r="C1331" i="2"/>
  <c r="G1331" i="2" s="1"/>
  <c r="H1331" i="2" s="1"/>
  <c r="I1331" i="2" s="1"/>
  <c r="B1331" i="2"/>
  <c r="D1330" i="2"/>
  <c r="C1330" i="2"/>
  <c r="G1330" i="2" s="1"/>
  <c r="H1330" i="2" s="1"/>
  <c r="I1330" i="2" s="1"/>
  <c r="B1330" i="2"/>
  <c r="D1329" i="2"/>
  <c r="C1329" i="2"/>
  <c r="G1329" i="2" s="1"/>
  <c r="H1329" i="2" s="1"/>
  <c r="I1329" i="2" s="1"/>
  <c r="B1329" i="2"/>
  <c r="D1328" i="2"/>
  <c r="C1328" i="2"/>
  <c r="G1328" i="2" s="1"/>
  <c r="H1328" i="2" s="1"/>
  <c r="I1328" i="2" s="1"/>
  <c r="B1328" i="2"/>
  <c r="E1327" i="2"/>
  <c r="D1327" i="2"/>
  <c r="C1327" i="2"/>
  <c r="G1327" i="2" s="1"/>
  <c r="H1327" i="2" s="1"/>
  <c r="I1327" i="2" s="1"/>
  <c r="B1327" i="2"/>
  <c r="D1326" i="2"/>
  <c r="C1326" i="2"/>
  <c r="G1326" i="2" s="1"/>
  <c r="H1326" i="2" s="1"/>
  <c r="I1326" i="2" s="1"/>
  <c r="B1326" i="2"/>
  <c r="D1325" i="2"/>
  <c r="C1325" i="2"/>
  <c r="G1325" i="2" s="1"/>
  <c r="H1325" i="2" s="1"/>
  <c r="I1325" i="2" s="1"/>
  <c r="B1325" i="2"/>
  <c r="D1324" i="2"/>
  <c r="C1324" i="2"/>
  <c r="G1324" i="2" s="1"/>
  <c r="H1324" i="2" s="1"/>
  <c r="I1324" i="2" s="1"/>
  <c r="B1324" i="2"/>
  <c r="D1323" i="2"/>
  <c r="C1323" i="2"/>
  <c r="G1323" i="2" s="1"/>
  <c r="H1323" i="2" s="1"/>
  <c r="I1323" i="2" s="1"/>
  <c r="B1323" i="2"/>
  <c r="D1322" i="2"/>
  <c r="C1322" i="2"/>
  <c r="G1322" i="2" s="1"/>
  <c r="H1322" i="2" s="1"/>
  <c r="I1322" i="2" s="1"/>
  <c r="B1322" i="2"/>
  <c r="D1321" i="2"/>
  <c r="C1321" i="2"/>
  <c r="G1321" i="2" s="1"/>
  <c r="H1321" i="2" s="1"/>
  <c r="I1321" i="2" s="1"/>
  <c r="B1321" i="2"/>
  <c r="D1320" i="2"/>
  <c r="C1320" i="2"/>
  <c r="G1320" i="2" s="1"/>
  <c r="H1320" i="2" s="1"/>
  <c r="I1320" i="2" s="1"/>
  <c r="B1320" i="2"/>
  <c r="D1319" i="2"/>
  <c r="C1319" i="2"/>
  <c r="G1319" i="2" s="1"/>
  <c r="H1319" i="2" s="1"/>
  <c r="I1319" i="2" s="1"/>
  <c r="B1319" i="2"/>
  <c r="D1318" i="2"/>
  <c r="C1318" i="2"/>
  <c r="G1318" i="2" s="1"/>
  <c r="H1318" i="2" s="1"/>
  <c r="I1318" i="2" s="1"/>
  <c r="B1318" i="2"/>
  <c r="D1317" i="2"/>
  <c r="C1317" i="2"/>
  <c r="G1317" i="2" s="1"/>
  <c r="H1317" i="2" s="1"/>
  <c r="I1317" i="2" s="1"/>
  <c r="B1317" i="2"/>
  <c r="D1316" i="2"/>
  <c r="C1316" i="2"/>
  <c r="G1316" i="2" s="1"/>
  <c r="H1316" i="2" s="1"/>
  <c r="I1316" i="2" s="1"/>
  <c r="B1316" i="2"/>
  <c r="D1315" i="2"/>
  <c r="C1315" i="2"/>
  <c r="G1315" i="2" s="1"/>
  <c r="H1315" i="2" s="1"/>
  <c r="I1315" i="2" s="1"/>
  <c r="B1315" i="2"/>
  <c r="D1314" i="2"/>
  <c r="C1314" i="2"/>
  <c r="G1314" i="2" s="1"/>
  <c r="H1314" i="2" s="1"/>
  <c r="I1314" i="2" s="1"/>
  <c r="B1314" i="2"/>
  <c r="D1313" i="2"/>
  <c r="C1313" i="2"/>
  <c r="G1313" i="2" s="1"/>
  <c r="H1313" i="2" s="1"/>
  <c r="I1313" i="2" s="1"/>
  <c r="B1313" i="2"/>
  <c r="D1312" i="2"/>
  <c r="C1312" i="2"/>
  <c r="G1312" i="2" s="1"/>
  <c r="H1312" i="2" s="1"/>
  <c r="I1312" i="2" s="1"/>
  <c r="B1312" i="2"/>
  <c r="D1311" i="2"/>
  <c r="C1311" i="2"/>
  <c r="G1311" i="2" s="1"/>
  <c r="H1311" i="2" s="1"/>
  <c r="I1311" i="2" s="1"/>
  <c r="B1311" i="2"/>
  <c r="D1310" i="2"/>
  <c r="C1310" i="2"/>
  <c r="G1310" i="2" s="1"/>
  <c r="H1310" i="2" s="1"/>
  <c r="I1310" i="2" s="1"/>
  <c r="B1310" i="2"/>
  <c r="D1309" i="2"/>
  <c r="C1309" i="2"/>
  <c r="G1309" i="2" s="1"/>
  <c r="H1309" i="2" s="1"/>
  <c r="I1309" i="2" s="1"/>
  <c r="B1309" i="2"/>
  <c r="D1308" i="2"/>
  <c r="C1308" i="2"/>
  <c r="G1308" i="2" s="1"/>
  <c r="H1308" i="2" s="1"/>
  <c r="I1308" i="2" s="1"/>
  <c r="B1308" i="2"/>
  <c r="D1307" i="2"/>
  <c r="C1307" i="2"/>
  <c r="G1307" i="2" s="1"/>
  <c r="H1307" i="2" s="1"/>
  <c r="I1307" i="2" s="1"/>
  <c r="B1307" i="2"/>
  <c r="D1306" i="2"/>
  <c r="C1306" i="2"/>
  <c r="G1306" i="2" s="1"/>
  <c r="H1306" i="2" s="1"/>
  <c r="I1306" i="2" s="1"/>
  <c r="B1306" i="2"/>
  <c r="D1305" i="2"/>
  <c r="C1305" i="2"/>
  <c r="G1305" i="2" s="1"/>
  <c r="H1305" i="2" s="1"/>
  <c r="I1305" i="2" s="1"/>
  <c r="B1305" i="2"/>
  <c r="D1304" i="2"/>
  <c r="C1304" i="2"/>
  <c r="G1304" i="2" s="1"/>
  <c r="H1304" i="2" s="1"/>
  <c r="I1304" i="2" s="1"/>
  <c r="B1304" i="2"/>
  <c r="D1303" i="2"/>
  <c r="C1303" i="2"/>
  <c r="G1303" i="2" s="1"/>
  <c r="H1303" i="2" s="1"/>
  <c r="I1303" i="2" s="1"/>
  <c r="B1303" i="2"/>
  <c r="D1302" i="2"/>
  <c r="C1302" i="2"/>
  <c r="G1302" i="2" s="1"/>
  <c r="H1302" i="2" s="1"/>
  <c r="I1302" i="2" s="1"/>
  <c r="B1302" i="2"/>
  <c r="D1301" i="2"/>
  <c r="C1301" i="2"/>
  <c r="G1301" i="2" s="1"/>
  <c r="H1301" i="2" s="1"/>
  <c r="I1301" i="2" s="1"/>
  <c r="B1301" i="2"/>
  <c r="D1300" i="2"/>
  <c r="C1300" i="2"/>
  <c r="G1300" i="2" s="1"/>
  <c r="H1300" i="2" s="1"/>
  <c r="I1300" i="2" s="1"/>
  <c r="B1300" i="2"/>
  <c r="D1299" i="2"/>
  <c r="C1299" i="2"/>
  <c r="G1299" i="2" s="1"/>
  <c r="H1299" i="2" s="1"/>
  <c r="I1299" i="2" s="1"/>
  <c r="B1299" i="2"/>
  <c r="D1298" i="2"/>
  <c r="C1298" i="2"/>
  <c r="G1298" i="2" s="1"/>
  <c r="H1298" i="2" s="1"/>
  <c r="I1298" i="2" s="1"/>
  <c r="B1298" i="2"/>
  <c r="D1297" i="2"/>
  <c r="C1297" i="2"/>
  <c r="G1297" i="2" s="1"/>
  <c r="H1297" i="2" s="1"/>
  <c r="I1297" i="2" s="1"/>
  <c r="B1297" i="2"/>
  <c r="D1296" i="2"/>
  <c r="C1296" i="2"/>
  <c r="G1296" i="2" s="1"/>
  <c r="H1296" i="2" s="1"/>
  <c r="I1296" i="2" s="1"/>
  <c r="B1296" i="2"/>
  <c r="D1295" i="2"/>
  <c r="C1295" i="2"/>
  <c r="G1295" i="2" s="1"/>
  <c r="H1295" i="2" s="1"/>
  <c r="I1295" i="2" s="1"/>
  <c r="B1295" i="2"/>
  <c r="D1294" i="2"/>
  <c r="C1294" i="2"/>
  <c r="G1294" i="2" s="1"/>
  <c r="H1294" i="2" s="1"/>
  <c r="I1294" i="2" s="1"/>
  <c r="B1294" i="2"/>
  <c r="D1293" i="2"/>
  <c r="C1293" i="2"/>
  <c r="G1293" i="2" s="1"/>
  <c r="H1293" i="2" s="1"/>
  <c r="I1293" i="2" s="1"/>
  <c r="B1293" i="2"/>
  <c r="D1292" i="2"/>
  <c r="C1292" i="2"/>
  <c r="G1292" i="2" s="1"/>
  <c r="H1292" i="2" s="1"/>
  <c r="I1292" i="2" s="1"/>
  <c r="B1292" i="2"/>
  <c r="D1291" i="2"/>
  <c r="C1291" i="2"/>
  <c r="G1291" i="2" s="1"/>
  <c r="H1291" i="2" s="1"/>
  <c r="I1291" i="2" s="1"/>
  <c r="B1291" i="2"/>
  <c r="E1290" i="2"/>
  <c r="D1290" i="2"/>
  <c r="C1290" i="2"/>
  <c r="G1290" i="2" s="1"/>
  <c r="H1290" i="2" s="1"/>
  <c r="I1290" i="2" s="1"/>
  <c r="B1290" i="2"/>
  <c r="E1289" i="2"/>
  <c r="D1289" i="2"/>
  <c r="C1289" i="2"/>
  <c r="G1289" i="2" s="1"/>
  <c r="H1289" i="2" s="1"/>
  <c r="I1289" i="2" s="1"/>
  <c r="B1289" i="2"/>
  <c r="E1288" i="2"/>
  <c r="D1288" i="2"/>
  <c r="C1288" i="2"/>
  <c r="G1288" i="2" s="1"/>
  <c r="H1288" i="2" s="1"/>
  <c r="I1288" i="2" s="1"/>
  <c r="B1288" i="2"/>
  <c r="E1287" i="2"/>
  <c r="D1287" i="2"/>
  <c r="C1287" i="2"/>
  <c r="G1287" i="2" s="1"/>
  <c r="H1287" i="2" s="1"/>
  <c r="I1287" i="2" s="1"/>
  <c r="B1287" i="2"/>
  <c r="E1286" i="2"/>
  <c r="D1286" i="2"/>
  <c r="C1286" i="2"/>
  <c r="G1286" i="2" s="1"/>
  <c r="H1286" i="2" s="1"/>
  <c r="I1286" i="2" s="1"/>
  <c r="B1286" i="2"/>
  <c r="D1285" i="2"/>
  <c r="C1285" i="2"/>
  <c r="G1285" i="2" s="1"/>
  <c r="H1285" i="2" s="1"/>
  <c r="I1285" i="2" s="1"/>
  <c r="B1285" i="2"/>
  <c r="D1284" i="2"/>
  <c r="C1284" i="2"/>
  <c r="G1284" i="2" s="1"/>
  <c r="H1284" i="2" s="1"/>
  <c r="I1284" i="2" s="1"/>
  <c r="B1284" i="2"/>
  <c r="D1283" i="2"/>
  <c r="C1283" i="2"/>
  <c r="G1283" i="2" s="1"/>
  <c r="H1283" i="2" s="1"/>
  <c r="I1283" i="2" s="1"/>
  <c r="B1283" i="2"/>
  <c r="D1282" i="2"/>
  <c r="C1282" i="2"/>
  <c r="G1282" i="2" s="1"/>
  <c r="H1282" i="2" s="1"/>
  <c r="I1282" i="2" s="1"/>
  <c r="B1282" i="2"/>
  <c r="D1281" i="2"/>
  <c r="C1281" i="2"/>
  <c r="G1281" i="2" s="1"/>
  <c r="H1281" i="2" s="1"/>
  <c r="I1281" i="2" s="1"/>
  <c r="B1281" i="2"/>
  <c r="D1280" i="2"/>
  <c r="C1280" i="2"/>
  <c r="G1280" i="2" s="1"/>
  <c r="H1280" i="2" s="1"/>
  <c r="I1280" i="2" s="1"/>
  <c r="B1280" i="2"/>
  <c r="D1279" i="2"/>
  <c r="C1279" i="2"/>
  <c r="G1279" i="2" s="1"/>
  <c r="H1279" i="2" s="1"/>
  <c r="I1279" i="2" s="1"/>
  <c r="B1279" i="2"/>
  <c r="D1278" i="2"/>
  <c r="C1278" i="2"/>
  <c r="G1278" i="2" s="1"/>
  <c r="H1278" i="2" s="1"/>
  <c r="I1278" i="2" s="1"/>
  <c r="B1278" i="2"/>
  <c r="D1277" i="2"/>
  <c r="C1277" i="2"/>
  <c r="G1277" i="2" s="1"/>
  <c r="H1277" i="2" s="1"/>
  <c r="I1277" i="2" s="1"/>
  <c r="B1277" i="2"/>
  <c r="D1276" i="2"/>
  <c r="C1276" i="2"/>
  <c r="G1276" i="2" s="1"/>
  <c r="H1276" i="2" s="1"/>
  <c r="I1276" i="2" s="1"/>
  <c r="B1276" i="2"/>
  <c r="D1275" i="2"/>
  <c r="C1275" i="2"/>
  <c r="G1275" i="2" s="1"/>
  <c r="H1275" i="2" s="1"/>
  <c r="I1275" i="2" s="1"/>
  <c r="B1275" i="2"/>
  <c r="D1274" i="2"/>
  <c r="C1274" i="2"/>
  <c r="G1274" i="2" s="1"/>
  <c r="H1274" i="2" s="1"/>
  <c r="I1274" i="2" s="1"/>
  <c r="B1274" i="2"/>
  <c r="D1273" i="2"/>
  <c r="C1273" i="2"/>
  <c r="G1273" i="2" s="1"/>
  <c r="H1273" i="2" s="1"/>
  <c r="I1273" i="2" s="1"/>
  <c r="B1273" i="2"/>
  <c r="D1272" i="2"/>
  <c r="C1272" i="2"/>
  <c r="G1272" i="2" s="1"/>
  <c r="H1272" i="2" s="1"/>
  <c r="I1272" i="2" s="1"/>
  <c r="B1272" i="2"/>
  <c r="D1271" i="2"/>
  <c r="C1271" i="2"/>
  <c r="G1271" i="2" s="1"/>
  <c r="H1271" i="2" s="1"/>
  <c r="I1271" i="2" s="1"/>
  <c r="B1271" i="2"/>
  <c r="D1270" i="2"/>
  <c r="C1270" i="2"/>
  <c r="G1270" i="2" s="1"/>
  <c r="H1270" i="2" s="1"/>
  <c r="I1270" i="2" s="1"/>
  <c r="B1270" i="2"/>
  <c r="D1269" i="2"/>
  <c r="C1269" i="2"/>
  <c r="G1269" i="2" s="1"/>
  <c r="H1269" i="2" s="1"/>
  <c r="I1269" i="2" s="1"/>
  <c r="B1269" i="2"/>
  <c r="D1268" i="2"/>
  <c r="C1268" i="2"/>
  <c r="G1268" i="2" s="1"/>
  <c r="H1268" i="2" s="1"/>
  <c r="I1268" i="2" s="1"/>
  <c r="B1268" i="2"/>
  <c r="D1267" i="2"/>
  <c r="C1267" i="2"/>
  <c r="G1267" i="2" s="1"/>
  <c r="H1267" i="2" s="1"/>
  <c r="I1267" i="2" s="1"/>
  <c r="B1267" i="2"/>
  <c r="D1266" i="2"/>
  <c r="C1266" i="2"/>
  <c r="G1266" i="2" s="1"/>
  <c r="H1266" i="2" s="1"/>
  <c r="I1266" i="2" s="1"/>
  <c r="B1266" i="2"/>
  <c r="D1265" i="2"/>
  <c r="C1265" i="2"/>
  <c r="G1265" i="2" s="1"/>
  <c r="H1265" i="2" s="1"/>
  <c r="I1265" i="2" s="1"/>
  <c r="B1265" i="2"/>
  <c r="D1264" i="2"/>
  <c r="C1264" i="2"/>
  <c r="G1264" i="2" s="1"/>
  <c r="H1264" i="2" s="1"/>
  <c r="I1264" i="2" s="1"/>
  <c r="B1264" i="2"/>
  <c r="D1263" i="2"/>
  <c r="C1263" i="2"/>
  <c r="G1263" i="2" s="1"/>
  <c r="H1263" i="2" s="1"/>
  <c r="I1263" i="2" s="1"/>
  <c r="B1263" i="2"/>
  <c r="D1262" i="2"/>
  <c r="C1262" i="2"/>
  <c r="G1262" i="2" s="1"/>
  <c r="H1262" i="2" s="1"/>
  <c r="I1262" i="2" s="1"/>
  <c r="B1262" i="2"/>
  <c r="D1261" i="2"/>
  <c r="C1261" i="2"/>
  <c r="G1261" i="2" s="1"/>
  <c r="H1261" i="2" s="1"/>
  <c r="I1261" i="2" s="1"/>
  <c r="B1261" i="2"/>
  <c r="D1260" i="2"/>
  <c r="C1260" i="2"/>
  <c r="G1260" i="2" s="1"/>
  <c r="H1260" i="2" s="1"/>
  <c r="I1260" i="2" s="1"/>
  <c r="B1260" i="2"/>
  <c r="E1259" i="2"/>
  <c r="D1259" i="2"/>
  <c r="C1259" i="2"/>
  <c r="G1259" i="2" s="1"/>
  <c r="H1259" i="2" s="1"/>
  <c r="I1259" i="2" s="1"/>
  <c r="B1259" i="2"/>
  <c r="E1258" i="2"/>
  <c r="D1258" i="2"/>
  <c r="C1258" i="2"/>
  <c r="G1258" i="2" s="1"/>
  <c r="H1258" i="2" s="1"/>
  <c r="I1258" i="2" s="1"/>
  <c r="B1258" i="2"/>
  <c r="D1257" i="2"/>
  <c r="C1257" i="2"/>
  <c r="G1257" i="2" s="1"/>
  <c r="H1257" i="2" s="1"/>
  <c r="I1257" i="2" s="1"/>
  <c r="B1257" i="2"/>
  <c r="D1256" i="2"/>
  <c r="C1256" i="2"/>
  <c r="G1256" i="2" s="1"/>
  <c r="H1256" i="2" s="1"/>
  <c r="I1256" i="2" s="1"/>
  <c r="B1256" i="2"/>
  <c r="D1255" i="2"/>
  <c r="C1255" i="2"/>
  <c r="G1255" i="2" s="1"/>
  <c r="H1255" i="2" s="1"/>
  <c r="I1255" i="2" s="1"/>
  <c r="B1255" i="2"/>
  <c r="D1254" i="2"/>
  <c r="C1254" i="2"/>
  <c r="G1254" i="2" s="1"/>
  <c r="H1254" i="2" s="1"/>
  <c r="I1254" i="2" s="1"/>
  <c r="B1254" i="2"/>
  <c r="D1253" i="2"/>
  <c r="C1253" i="2"/>
  <c r="G1253" i="2" s="1"/>
  <c r="H1253" i="2" s="1"/>
  <c r="I1253" i="2" s="1"/>
  <c r="B1253" i="2"/>
  <c r="D1252" i="2"/>
  <c r="C1252" i="2"/>
  <c r="G1252" i="2" s="1"/>
  <c r="H1252" i="2" s="1"/>
  <c r="I1252" i="2" s="1"/>
  <c r="B1252" i="2"/>
  <c r="D1251" i="2"/>
  <c r="C1251" i="2"/>
  <c r="G1251" i="2" s="1"/>
  <c r="H1251" i="2" s="1"/>
  <c r="I1251" i="2" s="1"/>
  <c r="B1251" i="2"/>
  <c r="D1250" i="2"/>
  <c r="C1250" i="2"/>
  <c r="G1250" i="2" s="1"/>
  <c r="H1250" i="2" s="1"/>
  <c r="I1250" i="2" s="1"/>
  <c r="B1250" i="2"/>
  <c r="D1249" i="2"/>
  <c r="C1249" i="2"/>
  <c r="G1249" i="2" s="1"/>
  <c r="H1249" i="2" s="1"/>
  <c r="I1249" i="2" s="1"/>
  <c r="B1249" i="2"/>
  <c r="D1248" i="2"/>
  <c r="C1248" i="2"/>
  <c r="G1248" i="2" s="1"/>
  <c r="H1248" i="2" s="1"/>
  <c r="I1248" i="2" s="1"/>
  <c r="B1248" i="2"/>
  <c r="D1247" i="2"/>
  <c r="C1247" i="2"/>
  <c r="G1247" i="2" s="1"/>
  <c r="H1247" i="2" s="1"/>
  <c r="I1247" i="2" s="1"/>
  <c r="B1247" i="2"/>
  <c r="D1246" i="2"/>
  <c r="C1246" i="2"/>
  <c r="G1246" i="2" s="1"/>
  <c r="H1246" i="2" s="1"/>
  <c r="I1246" i="2" s="1"/>
  <c r="B1246" i="2"/>
  <c r="D1245" i="2"/>
  <c r="C1245" i="2"/>
  <c r="G1245" i="2" s="1"/>
  <c r="H1245" i="2" s="1"/>
  <c r="I1245" i="2" s="1"/>
  <c r="B1245" i="2"/>
  <c r="D1244" i="2"/>
  <c r="C1244" i="2"/>
  <c r="G1244" i="2" s="1"/>
  <c r="H1244" i="2" s="1"/>
  <c r="I1244" i="2" s="1"/>
  <c r="B1244" i="2"/>
  <c r="D1243" i="2"/>
  <c r="C1243" i="2"/>
  <c r="G1243" i="2" s="1"/>
  <c r="H1243" i="2" s="1"/>
  <c r="I1243" i="2" s="1"/>
  <c r="B1243" i="2"/>
  <c r="D1242" i="2"/>
  <c r="C1242" i="2"/>
  <c r="G1242" i="2" s="1"/>
  <c r="H1242" i="2" s="1"/>
  <c r="I1242" i="2" s="1"/>
  <c r="B1242" i="2"/>
  <c r="D1241" i="2"/>
  <c r="C1241" i="2"/>
  <c r="G1241" i="2" s="1"/>
  <c r="H1241" i="2" s="1"/>
  <c r="I1241" i="2" s="1"/>
  <c r="B1241" i="2"/>
  <c r="D1240" i="2"/>
  <c r="C1240" i="2"/>
  <c r="G1240" i="2" s="1"/>
  <c r="H1240" i="2" s="1"/>
  <c r="I1240" i="2" s="1"/>
  <c r="B1240" i="2"/>
  <c r="D1239" i="2"/>
  <c r="C1239" i="2"/>
  <c r="G1239" i="2" s="1"/>
  <c r="H1239" i="2" s="1"/>
  <c r="I1239" i="2" s="1"/>
  <c r="B1239" i="2"/>
  <c r="D1238" i="2"/>
  <c r="C1238" i="2"/>
  <c r="G1238" i="2" s="1"/>
  <c r="H1238" i="2" s="1"/>
  <c r="I1238" i="2" s="1"/>
  <c r="B1238" i="2"/>
  <c r="D1237" i="2"/>
  <c r="C1237" i="2"/>
  <c r="G1237" i="2" s="1"/>
  <c r="H1237" i="2" s="1"/>
  <c r="I1237" i="2" s="1"/>
  <c r="B1237" i="2"/>
  <c r="D1236" i="2"/>
  <c r="C1236" i="2"/>
  <c r="G1236" i="2" s="1"/>
  <c r="H1236" i="2" s="1"/>
  <c r="I1236" i="2" s="1"/>
  <c r="B1236" i="2"/>
  <c r="D1235" i="2"/>
  <c r="C1235" i="2"/>
  <c r="G1235" i="2" s="1"/>
  <c r="H1235" i="2" s="1"/>
  <c r="I1235" i="2" s="1"/>
  <c r="B1235" i="2"/>
  <c r="D1234" i="2"/>
  <c r="C1234" i="2"/>
  <c r="G1234" i="2" s="1"/>
  <c r="H1234" i="2" s="1"/>
  <c r="I1234" i="2" s="1"/>
  <c r="B1234" i="2"/>
  <c r="D1233" i="2"/>
  <c r="C1233" i="2"/>
  <c r="G1233" i="2" s="1"/>
  <c r="H1233" i="2" s="1"/>
  <c r="I1233" i="2" s="1"/>
  <c r="B1233" i="2"/>
  <c r="D1232" i="2"/>
  <c r="C1232" i="2"/>
  <c r="G1232" i="2" s="1"/>
  <c r="H1232" i="2" s="1"/>
  <c r="I1232" i="2" s="1"/>
  <c r="B1232" i="2"/>
  <c r="D1231" i="2"/>
  <c r="C1231" i="2"/>
  <c r="G1231" i="2" s="1"/>
  <c r="H1231" i="2" s="1"/>
  <c r="I1231" i="2" s="1"/>
  <c r="B1231" i="2"/>
  <c r="D1230" i="2"/>
  <c r="C1230" i="2"/>
  <c r="G1230" i="2" s="1"/>
  <c r="H1230" i="2" s="1"/>
  <c r="I1230" i="2" s="1"/>
  <c r="B1230" i="2"/>
  <c r="D1229" i="2"/>
  <c r="C1229" i="2"/>
  <c r="G1229" i="2" s="1"/>
  <c r="H1229" i="2" s="1"/>
  <c r="I1229" i="2" s="1"/>
  <c r="B1229" i="2"/>
  <c r="D1228" i="2"/>
  <c r="C1228" i="2"/>
  <c r="G1228" i="2" s="1"/>
  <c r="H1228" i="2" s="1"/>
  <c r="I1228" i="2" s="1"/>
  <c r="B1228" i="2"/>
  <c r="D1227" i="2"/>
  <c r="C1227" i="2"/>
  <c r="G1227" i="2" s="1"/>
  <c r="H1227" i="2" s="1"/>
  <c r="I1227" i="2" s="1"/>
  <c r="B1227" i="2"/>
  <c r="D1226" i="2"/>
  <c r="C1226" i="2"/>
  <c r="G1226" i="2" s="1"/>
  <c r="H1226" i="2" s="1"/>
  <c r="I1226" i="2" s="1"/>
  <c r="B1226" i="2"/>
  <c r="D1225" i="2"/>
  <c r="C1225" i="2"/>
  <c r="G1225" i="2" s="1"/>
  <c r="H1225" i="2" s="1"/>
  <c r="I1225" i="2" s="1"/>
  <c r="B1225" i="2"/>
  <c r="D1224" i="2"/>
  <c r="C1224" i="2"/>
  <c r="G1224" i="2" s="1"/>
  <c r="H1224" i="2" s="1"/>
  <c r="I1224" i="2" s="1"/>
  <c r="B1224" i="2"/>
  <c r="D1223" i="2"/>
  <c r="C1223" i="2"/>
  <c r="G1223" i="2" s="1"/>
  <c r="H1223" i="2" s="1"/>
  <c r="I1223" i="2" s="1"/>
  <c r="B1223" i="2"/>
  <c r="D1222" i="2"/>
  <c r="C1222" i="2"/>
  <c r="G1222" i="2" s="1"/>
  <c r="H1222" i="2" s="1"/>
  <c r="I1222" i="2" s="1"/>
  <c r="B1222" i="2"/>
  <c r="D1221" i="2"/>
  <c r="C1221" i="2"/>
  <c r="G1221" i="2" s="1"/>
  <c r="H1221" i="2" s="1"/>
  <c r="I1221" i="2" s="1"/>
  <c r="B1221" i="2"/>
  <c r="D1220" i="2"/>
  <c r="C1220" i="2"/>
  <c r="G1220" i="2" s="1"/>
  <c r="H1220" i="2" s="1"/>
  <c r="I1220" i="2" s="1"/>
  <c r="B1220" i="2"/>
  <c r="D1219" i="2"/>
  <c r="C1219" i="2"/>
  <c r="G1219" i="2" s="1"/>
  <c r="H1219" i="2" s="1"/>
  <c r="I1219" i="2" s="1"/>
  <c r="B1219" i="2"/>
  <c r="D1218" i="2"/>
  <c r="C1218" i="2"/>
  <c r="G1218" i="2" s="1"/>
  <c r="H1218" i="2" s="1"/>
  <c r="I1218" i="2" s="1"/>
  <c r="B1218" i="2"/>
  <c r="D1217" i="2"/>
  <c r="C1217" i="2"/>
  <c r="G1217" i="2" s="1"/>
  <c r="H1217" i="2" s="1"/>
  <c r="I1217" i="2" s="1"/>
  <c r="B1217" i="2"/>
  <c r="D1216" i="2"/>
  <c r="C1216" i="2"/>
  <c r="G1216" i="2" s="1"/>
  <c r="H1216" i="2" s="1"/>
  <c r="I1216" i="2" s="1"/>
  <c r="B1216" i="2"/>
  <c r="D1215" i="2"/>
  <c r="C1215" i="2"/>
  <c r="G1215" i="2" s="1"/>
  <c r="H1215" i="2" s="1"/>
  <c r="I1215" i="2" s="1"/>
  <c r="B1215" i="2"/>
  <c r="D1214" i="2"/>
  <c r="C1214" i="2"/>
  <c r="G1214" i="2" s="1"/>
  <c r="H1214" i="2" s="1"/>
  <c r="I1214" i="2" s="1"/>
  <c r="B1214" i="2"/>
  <c r="D1213" i="2"/>
  <c r="C1213" i="2"/>
  <c r="G1213" i="2" s="1"/>
  <c r="H1213" i="2" s="1"/>
  <c r="I1213" i="2" s="1"/>
  <c r="B1213" i="2"/>
  <c r="D1212" i="2"/>
  <c r="C1212" i="2"/>
  <c r="G1212" i="2" s="1"/>
  <c r="H1212" i="2" s="1"/>
  <c r="I1212" i="2" s="1"/>
  <c r="B1212" i="2"/>
  <c r="D1211" i="2"/>
  <c r="C1211" i="2"/>
  <c r="G1211" i="2" s="1"/>
  <c r="H1211" i="2" s="1"/>
  <c r="I1211" i="2" s="1"/>
  <c r="B1211" i="2"/>
  <c r="D1210" i="2"/>
  <c r="C1210" i="2"/>
  <c r="G1210" i="2" s="1"/>
  <c r="H1210" i="2" s="1"/>
  <c r="I1210" i="2" s="1"/>
  <c r="B1210" i="2"/>
  <c r="D1209" i="2"/>
  <c r="C1209" i="2"/>
  <c r="G1209" i="2" s="1"/>
  <c r="H1209" i="2" s="1"/>
  <c r="I1209" i="2" s="1"/>
  <c r="B1209" i="2"/>
  <c r="D1208" i="2"/>
  <c r="C1208" i="2"/>
  <c r="G1208" i="2" s="1"/>
  <c r="H1208" i="2" s="1"/>
  <c r="I1208" i="2" s="1"/>
  <c r="B1208" i="2"/>
  <c r="D1207" i="2"/>
  <c r="C1207" i="2"/>
  <c r="G1207" i="2" s="1"/>
  <c r="H1207" i="2" s="1"/>
  <c r="I1207" i="2" s="1"/>
  <c r="B1207" i="2"/>
  <c r="D1206" i="2"/>
  <c r="C1206" i="2"/>
  <c r="G1206" i="2" s="1"/>
  <c r="H1206" i="2" s="1"/>
  <c r="I1206" i="2" s="1"/>
  <c r="B1206" i="2"/>
  <c r="D1205" i="2"/>
  <c r="C1205" i="2"/>
  <c r="G1205" i="2" s="1"/>
  <c r="H1205" i="2" s="1"/>
  <c r="I1205" i="2" s="1"/>
  <c r="B1205" i="2"/>
  <c r="D1204" i="2"/>
  <c r="C1204" i="2"/>
  <c r="G1204" i="2" s="1"/>
  <c r="H1204" i="2" s="1"/>
  <c r="I1204" i="2" s="1"/>
  <c r="B1204" i="2"/>
  <c r="D1203" i="2"/>
  <c r="C1203" i="2"/>
  <c r="G1203" i="2" s="1"/>
  <c r="H1203" i="2" s="1"/>
  <c r="I1203" i="2" s="1"/>
  <c r="B1203" i="2"/>
  <c r="D1202" i="2"/>
  <c r="C1202" i="2"/>
  <c r="G1202" i="2" s="1"/>
  <c r="H1202" i="2" s="1"/>
  <c r="I1202" i="2" s="1"/>
  <c r="B1202" i="2"/>
  <c r="D1201" i="2"/>
  <c r="C1201" i="2"/>
  <c r="G1201" i="2" s="1"/>
  <c r="H1201" i="2" s="1"/>
  <c r="I1201" i="2" s="1"/>
  <c r="B1201" i="2"/>
  <c r="D1200" i="2"/>
  <c r="C1200" i="2"/>
  <c r="G1200" i="2" s="1"/>
  <c r="H1200" i="2" s="1"/>
  <c r="I1200" i="2" s="1"/>
  <c r="B1200" i="2"/>
  <c r="D1199" i="2"/>
  <c r="C1199" i="2"/>
  <c r="G1199" i="2" s="1"/>
  <c r="H1199" i="2" s="1"/>
  <c r="I1199" i="2" s="1"/>
  <c r="B1199" i="2"/>
  <c r="D1198" i="2"/>
  <c r="C1198" i="2"/>
  <c r="G1198" i="2" s="1"/>
  <c r="H1198" i="2" s="1"/>
  <c r="I1198" i="2" s="1"/>
  <c r="B1198" i="2"/>
  <c r="D1197" i="2"/>
  <c r="C1197" i="2"/>
  <c r="G1197" i="2" s="1"/>
  <c r="H1197" i="2" s="1"/>
  <c r="I1197" i="2" s="1"/>
  <c r="B1197" i="2"/>
  <c r="D1196" i="2"/>
  <c r="C1196" i="2"/>
  <c r="G1196" i="2" s="1"/>
  <c r="H1196" i="2" s="1"/>
  <c r="I1196" i="2" s="1"/>
  <c r="B1196" i="2"/>
  <c r="D1195" i="2"/>
  <c r="C1195" i="2"/>
  <c r="G1195" i="2" s="1"/>
  <c r="H1195" i="2" s="1"/>
  <c r="I1195" i="2" s="1"/>
  <c r="B1195" i="2"/>
  <c r="D1194" i="2"/>
  <c r="C1194" i="2"/>
  <c r="G1194" i="2" s="1"/>
  <c r="H1194" i="2" s="1"/>
  <c r="I1194" i="2" s="1"/>
  <c r="B1194" i="2"/>
  <c r="D1193" i="2"/>
  <c r="C1193" i="2"/>
  <c r="G1193" i="2" s="1"/>
  <c r="H1193" i="2" s="1"/>
  <c r="I1193" i="2" s="1"/>
  <c r="B1193" i="2"/>
  <c r="D1192" i="2"/>
  <c r="C1192" i="2"/>
  <c r="G1192" i="2" s="1"/>
  <c r="H1192" i="2" s="1"/>
  <c r="I1192" i="2" s="1"/>
  <c r="B1192" i="2"/>
  <c r="D1191" i="2"/>
  <c r="C1191" i="2"/>
  <c r="G1191" i="2" s="1"/>
  <c r="H1191" i="2" s="1"/>
  <c r="I1191" i="2" s="1"/>
  <c r="B1191" i="2"/>
  <c r="D1190" i="2"/>
  <c r="C1190" i="2"/>
  <c r="G1190" i="2" s="1"/>
  <c r="H1190" i="2" s="1"/>
  <c r="I1190" i="2" s="1"/>
  <c r="B1190" i="2"/>
  <c r="D1189" i="2"/>
  <c r="C1189" i="2"/>
  <c r="G1189" i="2" s="1"/>
  <c r="H1189" i="2" s="1"/>
  <c r="I1189" i="2" s="1"/>
  <c r="B1189" i="2"/>
  <c r="D1188" i="2"/>
  <c r="C1188" i="2"/>
  <c r="G1188" i="2" s="1"/>
  <c r="H1188" i="2" s="1"/>
  <c r="I1188" i="2" s="1"/>
  <c r="B1188" i="2"/>
  <c r="D1187" i="2"/>
  <c r="C1187" i="2"/>
  <c r="G1187" i="2" s="1"/>
  <c r="H1187" i="2" s="1"/>
  <c r="I1187" i="2" s="1"/>
  <c r="B1187" i="2"/>
  <c r="D1186" i="2"/>
  <c r="C1186" i="2"/>
  <c r="G1186" i="2" s="1"/>
  <c r="H1186" i="2" s="1"/>
  <c r="I1186" i="2" s="1"/>
  <c r="B1186" i="2"/>
  <c r="D1185" i="2"/>
  <c r="C1185" i="2"/>
  <c r="G1185" i="2" s="1"/>
  <c r="H1185" i="2" s="1"/>
  <c r="I1185" i="2" s="1"/>
  <c r="B1185" i="2"/>
  <c r="D1184" i="2"/>
  <c r="C1184" i="2"/>
  <c r="G1184" i="2" s="1"/>
  <c r="H1184" i="2" s="1"/>
  <c r="I1184" i="2" s="1"/>
  <c r="B1184" i="2"/>
  <c r="D1183" i="2"/>
  <c r="C1183" i="2"/>
  <c r="G1183" i="2" s="1"/>
  <c r="H1183" i="2" s="1"/>
  <c r="I1183" i="2" s="1"/>
  <c r="B1183" i="2"/>
  <c r="D1182" i="2"/>
  <c r="C1182" i="2"/>
  <c r="G1182" i="2" s="1"/>
  <c r="H1182" i="2" s="1"/>
  <c r="I1182" i="2" s="1"/>
  <c r="B1182" i="2"/>
  <c r="D1181" i="2"/>
  <c r="C1181" i="2"/>
  <c r="G1181" i="2" s="1"/>
  <c r="H1181" i="2" s="1"/>
  <c r="I1181" i="2" s="1"/>
  <c r="B1181" i="2"/>
  <c r="D1180" i="2"/>
  <c r="C1180" i="2"/>
  <c r="G1180" i="2" s="1"/>
  <c r="H1180" i="2" s="1"/>
  <c r="I1180" i="2" s="1"/>
  <c r="B1180" i="2"/>
  <c r="D1179" i="2"/>
  <c r="C1179" i="2"/>
  <c r="G1179" i="2" s="1"/>
  <c r="H1179" i="2" s="1"/>
  <c r="I1179" i="2" s="1"/>
  <c r="B1179" i="2"/>
  <c r="D1178" i="2"/>
  <c r="C1178" i="2"/>
  <c r="G1178" i="2" s="1"/>
  <c r="H1178" i="2" s="1"/>
  <c r="I1178" i="2" s="1"/>
  <c r="B1178" i="2"/>
  <c r="D1177" i="2"/>
  <c r="C1177" i="2"/>
  <c r="G1177" i="2" s="1"/>
  <c r="H1177" i="2" s="1"/>
  <c r="I1177" i="2" s="1"/>
  <c r="B1177" i="2"/>
  <c r="D1176" i="2"/>
  <c r="C1176" i="2"/>
  <c r="G1176" i="2" s="1"/>
  <c r="H1176" i="2" s="1"/>
  <c r="I1176" i="2" s="1"/>
  <c r="B1176" i="2"/>
  <c r="D1175" i="2"/>
  <c r="C1175" i="2"/>
  <c r="G1175" i="2" s="1"/>
  <c r="H1175" i="2" s="1"/>
  <c r="I1175" i="2" s="1"/>
  <c r="B1175" i="2"/>
  <c r="D1174" i="2"/>
  <c r="C1174" i="2"/>
  <c r="G1174" i="2" s="1"/>
  <c r="H1174" i="2" s="1"/>
  <c r="I1174" i="2" s="1"/>
  <c r="B1174" i="2"/>
  <c r="D1173" i="2"/>
  <c r="C1173" i="2"/>
  <c r="G1173" i="2" s="1"/>
  <c r="H1173" i="2" s="1"/>
  <c r="I1173" i="2" s="1"/>
  <c r="B1173" i="2"/>
  <c r="D1172" i="2"/>
  <c r="C1172" i="2"/>
  <c r="G1172" i="2" s="1"/>
  <c r="H1172" i="2" s="1"/>
  <c r="I1172" i="2" s="1"/>
  <c r="B1172" i="2"/>
  <c r="D1171" i="2"/>
  <c r="C1171" i="2"/>
  <c r="G1171" i="2" s="1"/>
  <c r="H1171" i="2" s="1"/>
  <c r="I1171" i="2" s="1"/>
  <c r="B1171" i="2"/>
  <c r="D1170" i="2"/>
  <c r="C1170" i="2"/>
  <c r="G1170" i="2" s="1"/>
  <c r="H1170" i="2" s="1"/>
  <c r="I1170" i="2" s="1"/>
  <c r="B1170" i="2"/>
  <c r="D1169" i="2"/>
  <c r="C1169" i="2"/>
  <c r="G1169" i="2" s="1"/>
  <c r="H1169" i="2" s="1"/>
  <c r="I1169" i="2" s="1"/>
  <c r="B1169" i="2"/>
  <c r="D1168" i="2"/>
  <c r="C1168" i="2"/>
  <c r="G1168" i="2" s="1"/>
  <c r="H1168" i="2" s="1"/>
  <c r="I1168" i="2" s="1"/>
  <c r="B1168" i="2"/>
  <c r="D1167" i="2"/>
  <c r="C1167" i="2"/>
  <c r="G1167" i="2" s="1"/>
  <c r="H1167" i="2" s="1"/>
  <c r="I1167" i="2" s="1"/>
  <c r="B1167" i="2"/>
  <c r="D1166" i="2"/>
  <c r="C1166" i="2"/>
  <c r="G1166" i="2" s="1"/>
  <c r="H1166" i="2" s="1"/>
  <c r="I1166" i="2" s="1"/>
  <c r="B1166" i="2"/>
  <c r="D1165" i="2"/>
  <c r="C1165" i="2"/>
  <c r="G1165" i="2" s="1"/>
  <c r="H1165" i="2" s="1"/>
  <c r="I1165" i="2" s="1"/>
  <c r="B1165" i="2"/>
  <c r="D1164" i="2"/>
  <c r="C1164" i="2"/>
  <c r="G1164" i="2" s="1"/>
  <c r="H1164" i="2" s="1"/>
  <c r="I1164" i="2" s="1"/>
  <c r="B1164" i="2"/>
  <c r="D1163" i="2"/>
  <c r="C1163" i="2"/>
  <c r="G1163" i="2" s="1"/>
  <c r="H1163" i="2" s="1"/>
  <c r="I1163" i="2" s="1"/>
  <c r="B1163" i="2"/>
  <c r="D1162" i="2"/>
  <c r="C1162" i="2"/>
  <c r="G1162" i="2" s="1"/>
  <c r="H1162" i="2" s="1"/>
  <c r="I1162" i="2" s="1"/>
  <c r="B1162" i="2"/>
  <c r="D1161" i="2"/>
  <c r="C1161" i="2"/>
  <c r="G1161" i="2" s="1"/>
  <c r="H1161" i="2" s="1"/>
  <c r="I1161" i="2" s="1"/>
  <c r="B1161" i="2"/>
  <c r="D1160" i="2"/>
  <c r="C1160" i="2"/>
  <c r="G1160" i="2" s="1"/>
  <c r="H1160" i="2" s="1"/>
  <c r="I1160" i="2" s="1"/>
  <c r="B1160" i="2"/>
  <c r="D1159" i="2"/>
  <c r="C1159" i="2"/>
  <c r="G1159" i="2" s="1"/>
  <c r="H1159" i="2" s="1"/>
  <c r="I1159" i="2" s="1"/>
  <c r="B1159" i="2"/>
  <c r="D1158" i="2"/>
  <c r="C1158" i="2"/>
  <c r="G1158" i="2" s="1"/>
  <c r="H1158" i="2" s="1"/>
  <c r="I1158" i="2" s="1"/>
  <c r="B1158" i="2"/>
  <c r="D1157" i="2"/>
  <c r="C1157" i="2"/>
  <c r="G1157" i="2" s="1"/>
  <c r="H1157" i="2" s="1"/>
  <c r="I1157" i="2" s="1"/>
  <c r="B1157" i="2"/>
  <c r="D1156" i="2"/>
  <c r="C1156" i="2"/>
  <c r="G1156" i="2" s="1"/>
  <c r="H1156" i="2" s="1"/>
  <c r="I1156" i="2" s="1"/>
  <c r="B1156" i="2"/>
  <c r="D1155" i="2"/>
  <c r="C1155" i="2"/>
  <c r="G1155" i="2" s="1"/>
  <c r="H1155" i="2" s="1"/>
  <c r="I1155" i="2" s="1"/>
  <c r="B1155" i="2"/>
  <c r="D1154" i="2"/>
  <c r="C1154" i="2"/>
  <c r="G1154" i="2" s="1"/>
  <c r="H1154" i="2" s="1"/>
  <c r="I1154" i="2" s="1"/>
  <c r="B1154" i="2"/>
  <c r="D1153" i="2"/>
  <c r="C1153" i="2"/>
  <c r="G1153" i="2" s="1"/>
  <c r="H1153" i="2" s="1"/>
  <c r="I1153" i="2" s="1"/>
  <c r="B1153" i="2"/>
  <c r="D1152" i="2"/>
  <c r="C1152" i="2"/>
  <c r="G1152" i="2" s="1"/>
  <c r="H1152" i="2" s="1"/>
  <c r="I1152" i="2" s="1"/>
  <c r="B1152" i="2"/>
  <c r="D1151" i="2"/>
  <c r="C1151" i="2"/>
  <c r="G1151" i="2" s="1"/>
  <c r="H1151" i="2" s="1"/>
  <c r="I1151" i="2" s="1"/>
  <c r="B1151" i="2"/>
  <c r="D1150" i="2"/>
  <c r="C1150" i="2"/>
  <c r="G1150" i="2" s="1"/>
  <c r="H1150" i="2" s="1"/>
  <c r="I1150" i="2" s="1"/>
  <c r="B1150" i="2"/>
  <c r="D1149" i="2"/>
  <c r="C1149" i="2"/>
  <c r="G1149" i="2" s="1"/>
  <c r="H1149" i="2" s="1"/>
  <c r="I1149" i="2" s="1"/>
  <c r="B1149" i="2"/>
  <c r="D1148" i="2"/>
  <c r="C1148" i="2"/>
  <c r="G1148" i="2" s="1"/>
  <c r="H1148" i="2" s="1"/>
  <c r="I1148" i="2" s="1"/>
  <c r="B1148" i="2"/>
  <c r="D1147" i="2"/>
  <c r="C1147" i="2"/>
  <c r="G1147" i="2" s="1"/>
  <c r="H1147" i="2" s="1"/>
  <c r="I1147" i="2" s="1"/>
  <c r="B1147" i="2"/>
  <c r="E1146" i="2"/>
  <c r="D1146" i="2"/>
  <c r="C1146" i="2"/>
  <c r="G1146" i="2" s="1"/>
  <c r="H1146" i="2" s="1"/>
  <c r="I1146" i="2" s="1"/>
  <c r="B1146" i="2"/>
  <c r="E1145" i="2"/>
  <c r="D1145" i="2"/>
  <c r="C1145" i="2"/>
  <c r="G1145" i="2" s="1"/>
  <c r="H1145" i="2" s="1"/>
  <c r="I1145" i="2" s="1"/>
  <c r="B1145" i="2"/>
  <c r="D1144" i="2"/>
  <c r="C1144" i="2"/>
  <c r="G1144" i="2" s="1"/>
  <c r="H1144" i="2" s="1"/>
  <c r="I1144" i="2" s="1"/>
  <c r="B1144" i="2"/>
  <c r="D1143" i="2"/>
  <c r="C1143" i="2"/>
  <c r="G1143" i="2" s="1"/>
  <c r="H1143" i="2" s="1"/>
  <c r="I1143" i="2" s="1"/>
  <c r="B1143" i="2"/>
  <c r="D1142" i="2"/>
  <c r="C1142" i="2"/>
  <c r="G1142" i="2" s="1"/>
  <c r="H1142" i="2" s="1"/>
  <c r="I1142" i="2" s="1"/>
  <c r="B1142" i="2"/>
  <c r="D1141" i="2"/>
  <c r="C1141" i="2"/>
  <c r="G1141" i="2" s="1"/>
  <c r="H1141" i="2" s="1"/>
  <c r="I1141" i="2" s="1"/>
  <c r="B1141" i="2"/>
  <c r="D1140" i="2"/>
  <c r="C1140" i="2"/>
  <c r="G1140" i="2" s="1"/>
  <c r="H1140" i="2" s="1"/>
  <c r="I1140" i="2" s="1"/>
  <c r="B1140" i="2"/>
  <c r="D1139" i="2"/>
  <c r="C1139" i="2"/>
  <c r="G1139" i="2" s="1"/>
  <c r="H1139" i="2" s="1"/>
  <c r="I1139" i="2" s="1"/>
  <c r="B1139" i="2"/>
  <c r="D1138" i="2"/>
  <c r="C1138" i="2"/>
  <c r="G1138" i="2" s="1"/>
  <c r="H1138" i="2" s="1"/>
  <c r="I1138" i="2" s="1"/>
  <c r="B1138" i="2"/>
  <c r="D1137" i="2"/>
  <c r="C1137" i="2"/>
  <c r="G1137" i="2" s="1"/>
  <c r="H1137" i="2" s="1"/>
  <c r="I1137" i="2" s="1"/>
  <c r="B1137" i="2"/>
  <c r="D1136" i="2"/>
  <c r="C1136" i="2"/>
  <c r="G1136" i="2" s="1"/>
  <c r="H1136" i="2" s="1"/>
  <c r="I1136" i="2" s="1"/>
  <c r="B1136" i="2"/>
  <c r="D1135" i="2"/>
  <c r="C1135" i="2"/>
  <c r="G1135" i="2" s="1"/>
  <c r="H1135" i="2" s="1"/>
  <c r="I1135" i="2" s="1"/>
  <c r="B1135" i="2"/>
  <c r="D1134" i="2"/>
  <c r="C1134" i="2"/>
  <c r="G1134" i="2" s="1"/>
  <c r="H1134" i="2" s="1"/>
  <c r="I1134" i="2" s="1"/>
  <c r="B1134" i="2"/>
  <c r="D1133" i="2"/>
  <c r="C1133" i="2"/>
  <c r="G1133" i="2" s="1"/>
  <c r="H1133" i="2" s="1"/>
  <c r="I1133" i="2" s="1"/>
  <c r="B1133" i="2"/>
  <c r="D1132" i="2"/>
  <c r="C1132" i="2"/>
  <c r="G1132" i="2" s="1"/>
  <c r="H1132" i="2" s="1"/>
  <c r="I1132" i="2" s="1"/>
  <c r="B1132" i="2"/>
  <c r="D1131" i="2"/>
  <c r="C1131" i="2"/>
  <c r="G1131" i="2" s="1"/>
  <c r="H1131" i="2" s="1"/>
  <c r="I1131" i="2" s="1"/>
  <c r="B1131" i="2"/>
  <c r="D1130" i="2"/>
  <c r="C1130" i="2"/>
  <c r="G1130" i="2" s="1"/>
  <c r="H1130" i="2" s="1"/>
  <c r="I1130" i="2" s="1"/>
  <c r="B1130" i="2"/>
  <c r="D1129" i="2"/>
  <c r="C1129" i="2"/>
  <c r="G1129" i="2" s="1"/>
  <c r="H1129" i="2" s="1"/>
  <c r="I1129" i="2" s="1"/>
  <c r="B1129" i="2"/>
  <c r="D1128" i="2"/>
  <c r="C1128" i="2"/>
  <c r="G1128" i="2" s="1"/>
  <c r="H1128" i="2" s="1"/>
  <c r="I1128" i="2" s="1"/>
  <c r="B1128" i="2"/>
  <c r="D1127" i="2"/>
  <c r="C1127" i="2"/>
  <c r="G1127" i="2" s="1"/>
  <c r="H1127" i="2" s="1"/>
  <c r="I1127" i="2" s="1"/>
  <c r="B1127" i="2"/>
  <c r="D1126" i="2"/>
  <c r="C1126" i="2"/>
  <c r="G1126" i="2" s="1"/>
  <c r="H1126" i="2" s="1"/>
  <c r="I1126" i="2" s="1"/>
  <c r="B1126" i="2"/>
  <c r="D1125" i="2"/>
  <c r="C1125" i="2"/>
  <c r="G1125" i="2" s="1"/>
  <c r="H1125" i="2" s="1"/>
  <c r="I1125" i="2" s="1"/>
  <c r="B1125" i="2"/>
  <c r="D1124" i="2"/>
  <c r="C1124" i="2"/>
  <c r="G1124" i="2" s="1"/>
  <c r="H1124" i="2" s="1"/>
  <c r="I1124" i="2" s="1"/>
  <c r="B1124" i="2"/>
  <c r="D1123" i="2"/>
  <c r="C1123" i="2"/>
  <c r="G1123" i="2" s="1"/>
  <c r="H1123" i="2" s="1"/>
  <c r="I1123" i="2" s="1"/>
  <c r="B1123" i="2"/>
  <c r="D1122" i="2"/>
  <c r="C1122" i="2"/>
  <c r="G1122" i="2" s="1"/>
  <c r="H1122" i="2" s="1"/>
  <c r="I1122" i="2" s="1"/>
  <c r="B1122" i="2"/>
  <c r="D1121" i="2"/>
  <c r="C1121" i="2"/>
  <c r="G1121" i="2" s="1"/>
  <c r="H1121" i="2" s="1"/>
  <c r="I1121" i="2" s="1"/>
  <c r="B1121" i="2"/>
  <c r="D1120" i="2"/>
  <c r="C1120" i="2"/>
  <c r="G1120" i="2" s="1"/>
  <c r="H1120" i="2" s="1"/>
  <c r="I1120" i="2" s="1"/>
  <c r="B1120" i="2"/>
  <c r="D1119" i="2"/>
  <c r="C1119" i="2"/>
  <c r="G1119" i="2" s="1"/>
  <c r="H1119" i="2" s="1"/>
  <c r="I1119" i="2" s="1"/>
  <c r="B1119" i="2"/>
  <c r="D1118" i="2"/>
  <c r="C1118" i="2"/>
  <c r="G1118" i="2" s="1"/>
  <c r="H1118" i="2" s="1"/>
  <c r="I1118" i="2" s="1"/>
  <c r="B1118" i="2"/>
  <c r="D1117" i="2"/>
  <c r="C1117" i="2"/>
  <c r="G1117" i="2" s="1"/>
  <c r="H1117" i="2" s="1"/>
  <c r="I1117" i="2" s="1"/>
  <c r="B1117" i="2"/>
  <c r="D1116" i="2"/>
  <c r="C1116" i="2"/>
  <c r="G1116" i="2" s="1"/>
  <c r="H1116" i="2" s="1"/>
  <c r="I1116" i="2" s="1"/>
  <c r="B1116" i="2"/>
  <c r="D1115" i="2"/>
  <c r="C1115" i="2"/>
  <c r="G1115" i="2" s="1"/>
  <c r="H1115" i="2" s="1"/>
  <c r="I1115" i="2" s="1"/>
  <c r="B1115" i="2"/>
  <c r="D1114" i="2"/>
  <c r="C1114" i="2"/>
  <c r="G1114" i="2" s="1"/>
  <c r="H1114" i="2" s="1"/>
  <c r="I1114" i="2" s="1"/>
  <c r="B1114" i="2"/>
  <c r="D1113" i="2"/>
  <c r="C1113" i="2"/>
  <c r="G1113" i="2" s="1"/>
  <c r="H1113" i="2" s="1"/>
  <c r="I1113" i="2" s="1"/>
  <c r="B1113" i="2"/>
  <c r="D1112" i="2"/>
  <c r="C1112" i="2"/>
  <c r="G1112" i="2" s="1"/>
  <c r="H1112" i="2" s="1"/>
  <c r="I1112" i="2" s="1"/>
  <c r="B1112" i="2"/>
  <c r="D1111" i="2"/>
  <c r="C1111" i="2"/>
  <c r="G1111" i="2" s="1"/>
  <c r="H1111" i="2" s="1"/>
  <c r="I1111" i="2" s="1"/>
  <c r="B1111" i="2"/>
  <c r="D1110" i="2"/>
  <c r="C1110" i="2"/>
  <c r="G1110" i="2" s="1"/>
  <c r="H1110" i="2" s="1"/>
  <c r="I1110" i="2" s="1"/>
  <c r="B1110" i="2"/>
  <c r="D1109" i="2"/>
  <c r="C1109" i="2"/>
  <c r="G1109" i="2" s="1"/>
  <c r="H1109" i="2" s="1"/>
  <c r="I1109" i="2" s="1"/>
  <c r="B1109" i="2"/>
  <c r="D1108" i="2"/>
  <c r="C1108" i="2"/>
  <c r="G1108" i="2" s="1"/>
  <c r="H1108" i="2" s="1"/>
  <c r="I1108" i="2" s="1"/>
  <c r="B1108" i="2"/>
  <c r="D1107" i="2"/>
  <c r="C1107" i="2"/>
  <c r="G1107" i="2" s="1"/>
  <c r="H1107" i="2" s="1"/>
  <c r="I1107" i="2" s="1"/>
  <c r="B1107" i="2"/>
  <c r="D1106" i="2"/>
  <c r="C1106" i="2"/>
  <c r="G1106" i="2" s="1"/>
  <c r="H1106" i="2" s="1"/>
  <c r="I1106" i="2" s="1"/>
  <c r="B1106" i="2"/>
  <c r="D1105" i="2"/>
  <c r="C1105" i="2"/>
  <c r="G1105" i="2" s="1"/>
  <c r="H1105" i="2" s="1"/>
  <c r="I1105" i="2" s="1"/>
  <c r="B1105" i="2"/>
  <c r="D1104" i="2"/>
  <c r="C1104" i="2"/>
  <c r="G1104" i="2" s="1"/>
  <c r="H1104" i="2" s="1"/>
  <c r="I1104" i="2" s="1"/>
  <c r="B1104" i="2"/>
  <c r="D1103" i="2"/>
  <c r="C1103" i="2"/>
  <c r="G1103" i="2" s="1"/>
  <c r="H1103" i="2" s="1"/>
  <c r="I1103" i="2" s="1"/>
  <c r="B1103" i="2"/>
  <c r="D1102" i="2"/>
  <c r="C1102" i="2"/>
  <c r="G1102" i="2" s="1"/>
  <c r="H1102" i="2" s="1"/>
  <c r="I1102" i="2" s="1"/>
  <c r="B1102" i="2"/>
  <c r="G1101" i="2"/>
  <c r="H1101" i="2" s="1"/>
  <c r="I1101" i="2" s="1"/>
  <c r="D1101" i="2"/>
  <c r="C1101" i="2"/>
  <c r="B1101" i="2"/>
  <c r="D1100" i="2"/>
  <c r="C1100" i="2"/>
  <c r="G1100" i="2" s="1"/>
  <c r="H1100" i="2" s="1"/>
  <c r="I1100" i="2" s="1"/>
  <c r="B1100" i="2"/>
  <c r="D1099" i="2"/>
  <c r="C1099" i="2"/>
  <c r="G1099" i="2" s="1"/>
  <c r="H1099" i="2" s="1"/>
  <c r="I1099" i="2" s="1"/>
  <c r="B1099" i="2"/>
  <c r="D1098" i="2"/>
  <c r="C1098" i="2"/>
  <c r="G1098" i="2" s="1"/>
  <c r="H1098" i="2" s="1"/>
  <c r="I1098" i="2" s="1"/>
  <c r="B1098" i="2"/>
  <c r="D1097" i="2"/>
  <c r="C1097" i="2"/>
  <c r="G1097" i="2" s="1"/>
  <c r="H1097" i="2" s="1"/>
  <c r="I1097" i="2" s="1"/>
  <c r="B1097" i="2"/>
  <c r="E1096" i="2"/>
  <c r="D1096" i="2"/>
  <c r="C1096" i="2"/>
  <c r="G1096" i="2" s="1"/>
  <c r="H1096" i="2" s="1"/>
  <c r="I1096" i="2" s="1"/>
  <c r="B1096" i="2"/>
  <c r="D1095" i="2"/>
  <c r="C1095" i="2"/>
  <c r="G1095" i="2" s="1"/>
  <c r="H1095" i="2" s="1"/>
  <c r="I1095" i="2" s="1"/>
  <c r="B1095" i="2"/>
  <c r="D1094" i="2"/>
  <c r="C1094" i="2"/>
  <c r="G1094" i="2" s="1"/>
  <c r="H1094" i="2" s="1"/>
  <c r="I1094" i="2" s="1"/>
  <c r="B1094" i="2"/>
  <c r="D1093" i="2"/>
  <c r="C1093" i="2"/>
  <c r="G1093" i="2" s="1"/>
  <c r="H1093" i="2" s="1"/>
  <c r="I1093" i="2" s="1"/>
  <c r="B1093" i="2"/>
  <c r="D1092" i="2"/>
  <c r="C1092" i="2"/>
  <c r="G1092" i="2" s="1"/>
  <c r="H1092" i="2" s="1"/>
  <c r="I1092" i="2" s="1"/>
  <c r="B1092" i="2"/>
  <c r="D1091" i="2"/>
  <c r="C1091" i="2"/>
  <c r="G1091" i="2" s="1"/>
  <c r="H1091" i="2" s="1"/>
  <c r="I1091" i="2" s="1"/>
  <c r="B1091" i="2"/>
  <c r="D1090" i="2"/>
  <c r="C1090" i="2"/>
  <c r="G1090" i="2" s="1"/>
  <c r="H1090" i="2" s="1"/>
  <c r="I1090" i="2" s="1"/>
  <c r="B1090" i="2"/>
  <c r="D1089" i="2"/>
  <c r="C1089" i="2"/>
  <c r="G1089" i="2" s="1"/>
  <c r="H1089" i="2" s="1"/>
  <c r="I1089" i="2" s="1"/>
  <c r="B1089" i="2"/>
  <c r="D1088" i="2"/>
  <c r="C1088" i="2"/>
  <c r="G1088" i="2" s="1"/>
  <c r="H1088" i="2" s="1"/>
  <c r="I1088" i="2" s="1"/>
  <c r="B1088" i="2"/>
  <c r="D1087" i="2"/>
  <c r="C1087" i="2"/>
  <c r="G1087" i="2" s="1"/>
  <c r="H1087" i="2" s="1"/>
  <c r="I1087" i="2" s="1"/>
  <c r="B1087" i="2"/>
  <c r="D1086" i="2"/>
  <c r="C1086" i="2"/>
  <c r="G1086" i="2" s="1"/>
  <c r="H1086" i="2" s="1"/>
  <c r="I1086" i="2" s="1"/>
  <c r="B1086" i="2"/>
  <c r="D1085" i="2"/>
  <c r="C1085" i="2"/>
  <c r="G1085" i="2" s="1"/>
  <c r="H1085" i="2" s="1"/>
  <c r="I1085" i="2" s="1"/>
  <c r="B1085" i="2"/>
  <c r="D1084" i="2"/>
  <c r="C1084" i="2"/>
  <c r="G1084" i="2" s="1"/>
  <c r="H1084" i="2" s="1"/>
  <c r="I1084" i="2" s="1"/>
  <c r="B1084" i="2"/>
  <c r="D1083" i="2"/>
  <c r="C1083" i="2"/>
  <c r="G1083" i="2" s="1"/>
  <c r="H1083" i="2" s="1"/>
  <c r="I1083" i="2" s="1"/>
  <c r="B1083" i="2"/>
  <c r="D1082" i="2"/>
  <c r="C1082" i="2"/>
  <c r="G1082" i="2" s="1"/>
  <c r="H1082" i="2" s="1"/>
  <c r="I1082" i="2" s="1"/>
  <c r="B1082" i="2"/>
  <c r="D1081" i="2"/>
  <c r="C1081" i="2"/>
  <c r="G1081" i="2" s="1"/>
  <c r="H1081" i="2" s="1"/>
  <c r="I1081" i="2" s="1"/>
  <c r="B1081" i="2"/>
  <c r="D1080" i="2"/>
  <c r="C1080" i="2"/>
  <c r="G1080" i="2" s="1"/>
  <c r="H1080" i="2" s="1"/>
  <c r="I1080" i="2" s="1"/>
  <c r="B1080" i="2"/>
  <c r="D1079" i="2"/>
  <c r="C1079" i="2"/>
  <c r="G1079" i="2" s="1"/>
  <c r="H1079" i="2" s="1"/>
  <c r="I1079" i="2" s="1"/>
  <c r="B1079" i="2"/>
  <c r="D1078" i="2"/>
  <c r="C1078" i="2"/>
  <c r="G1078" i="2" s="1"/>
  <c r="H1078" i="2" s="1"/>
  <c r="I1078" i="2" s="1"/>
  <c r="B1078" i="2"/>
  <c r="D1077" i="2"/>
  <c r="C1077" i="2"/>
  <c r="G1077" i="2" s="1"/>
  <c r="H1077" i="2" s="1"/>
  <c r="I1077" i="2" s="1"/>
  <c r="B1077" i="2"/>
  <c r="D1076" i="2"/>
  <c r="C1076" i="2"/>
  <c r="G1076" i="2" s="1"/>
  <c r="H1076" i="2" s="1"/>
  <c r="I1076" i="2" s="1"/>
  <c r="B1076" i="2"/>
  <c r="D1075" i="2"/>
  <c r="C1075" i="2"/>
  <c r="G1075" i="2" s="1"/>
  <c r="H1075" i="2" s="1"/>
  <c r="I1075" i="2" s="1"/>
  <c r="B1075" i="2"/>
  <c r="D1074" i="2"/>
  <c r="C1074" i="2"/>
  <c r="G1074" i="2" s="1"/>
  <c r="H1074" i="2" s="1"/>
  <c r="I1074" i="2" s="1"/>
  <c r="B1074" i="2"/>
  <c r="D1073" i="2"/>
  <c r="C1073" i="2"/>
  <c r="G1073" i="2" s="1"/>
  <c r="H1073" i="2" s="1"/>
  <c r="I1073" i="2" s="1"/>
  <c r="B1073" i="2"/>
  <c r="D1072" i="2"/>
  <c r="C1072" i="2"/>
  <c r="G1072" i="2" s="1"/>
  <c r="H1072" i="2" s="1"/>
  <c r="I1072" i="2" s="1"/>
  <c r="B1072" i="2"/>
  <c r="D1071" i="2"/>
  <c r="C1071" i="2"/>
  <c r="G1071" i="2" s="1"/>
  <c r="H1071" i="2" s="1"/>
  <c r="I1071" i="2" s="1"/>
  <c r="B1071" i="2"/>
  <c r="D1070" i="2"/>
  <c r="C1070" i="2"/>
  <c r="G1070" i="2" s="1"/>
  <c r="H1070" i="2" s="1"/>
  <c r="I1070" i="2" s="1"/>
  <c r="B1070" i="2"/>
  <c r="D1069" i="2"/>
  <c r="C1069" i="2"/>
  <c r="G1069" i="2" s="1"/>
  <c r="H1069" i="2" s="1"/>
  <c r="I1069" i="2" s="1"/>
  <c r="B1069" i="2"/>
  <c r="D1068" i="2"/>
  <c r="C1068" i="2"/>
  <c r="G1068" i="2" s="1"/>
  <c r="H1068" i="2" s="1"/>
  <c r="I1068" i="2" s="1"/>
  <c r="B1068" i="2"/>
  <c r="D1067" i="2"/>
  <c r="C1067" i="2"/>
  <c r="G1067" i="2" s="1"/>
  <c r="H1067" i="2" s="1"/>
  <c r="I1067" i="2" s="1"/>
  <c r="B1067" i="2"/>
  <c r="D1066" i="2"/>
  <c r="C1066" i="2"/>
  <c r="G1066" i="2" s="1"/>
  <c r="H1066" i="2" s="1"/>
  <c r="I1066" i="2" s="1"/>
  <c r="B1066" i="2"/>
  <c r="D1065" i="2"/>
  <c r="C1065" i="2"/>
  <c r="G1065" i="2" s="1"/>
  <c r="H1065" i="2" s="1"/>
  <c r="I1065" i="2" s="1"/>
  <c r="B1065" i="2"/>
  <c r="D1064" i="2"/>
  <c r="C1064" i="2"/>
  <c r="G1064" i="2" s="1"/>
  <c r="H1064" i="2" s="1"/>
  <c r="I1064" i="2" s="1"/>
  <c r="B1064" i="2"/>
  <c r="D1063" i="2"/>
  <c r="C1063" i="2"/>
  <c r="G1063" i="2" s="1"/>
  <c r="H1063" i="2" s="1"/>
  <c r="I1063" i="2" s="1"/>
  <c r="B1063" i="2"/>
  <c r="E1062" i="2"/>
  <c r="D1062" i="2"/>
  <c r="C1062" i="2"/>
  <c r="G1062" i="2" s="1"/>
  <c r="H1062" i="2" s="1"/>
  <c r="I1062" i="2" s="1"/>
  <c r="B1062" i="2"/>
  <c r="E1061" i="2"/>
  <c r="D1061" i="2"/>
  <c r="C1061" i="2"/>
  <c r="G1061" i="2" s="1"/>
  <c r="H1061" i="2" s="1"/>
  <c r="I1061" i="2" s="1"/>
  <c r="B1061" i="2"/>
  <c r="E1060" i="2"/>
  <c r="D1060" i="2"/>
  <c r="C1060" i="2"/>
  <c r="G1060" i="2" s="1"/>
  <c r="H1060" i="2" s="1"/>
  <c r="I1060" i="2" s="1"/>
  <c r="B1060" i="2"/>
  <c r="E1059" i="2"/>
  <c r="D1059" i="2"/>
  <c r="C1059" i="2"/>
  <c r="G1059" i="2" s="1"/>
  <c r="H1059" i="2" s="1"/>
  <c r="I1059" i="2" s="1"/>
  <c r="B1059" i="2"/>
  <c r="E1058" i="2"/>
  <c r="D1058" i="2"/>
  <c r="C1058" i="2"/>
  <c r="G1058" i="2" s="1"/>
  <c r="H1058" i="2" s="1"/>
  <c r="I1058" i="2" s="1"/>
  <c r="B1058" i="2"/>
  <c r="E1057" i="2"/>
  <c r="D1057" i="2"/>
  <c r="C1057" i="2"/>
  <c r="G1057" i="2" s="1"/>
  <c r="H1057" i="2" s="1"/>
  <c r="I1057" i="2" s="1"/>
  <c r="B1057" i="2"/>
  <c r="D1056" i="2"/>
  <c r="C1056" i="2"/>
  <c r="G1056" i="2" s="1"/>
  <c r="H1056" i="2" s="1"/>
  <c r="I1056" i="2" s="1"/>
  <c r="B1056" i="2"/>
  <c r="D1055" i="2"/>
  <c r="C1055" i="2"/>
  <c r="G1055" i="2" s="1"/>
  <c r="H1055" i="2" s="1"/>
  <c r="I1055" i="2" s="1"/>
  <c r="B1055" i="2"/>
  <c r="D1054" i="2"/>
  <c r="C1054" i="2"/>
  <c r="G1054" i="2" s="1"/>
  <c r="H1054" i="2" s="1"/>
  <c r="I1054" i="2" s="1"/>
  <c r="B1054" i="2"/>
  <c r="D1053" i="2"/>
  <c r="C1053" i="2"/>
  <c r="G1053" i="2" s="1"/>
  <c r="H1053" i="2" s="1"/>
  <c r="I1053" i="2" s="1"/>
  <c r="B1053" i="2"/>
  <c r="D1052" i="2"/>
  <c r="C1052" i="2"/>
  <c r="G1052" i="2" s="1"/>
  <c r="H1052" i="2" s="1"/>
  <c r="I1052" i="2" s="1"/>
  <c r="B1052" i="2"/>
  <c r="D1051" i="2"/>
  <c r="C1051" i="2"/>
  <c r="G1051" i="2" s="1"/>
  <c r="H1051" i="2" s="1"/>
  <c r="I1051" i="2" s="1"/>
  <c r="B1051" i="2"/>
  <c r="D1050" i="2"/>
  <c r="C1050" i="2"/>
  <c r="G1050" i="2" s="1"/>
  <c r="H1050" i="2" s="1"/>
  <c r="I1050" i="2" s="1"/>
  <c r="B1050" i="2"/>
  <c r="D1049" i="2"/>
  <c r="C1049" i="2"/>
  <c r="G1049" i="2" s="1"/>
  <c r="H1049" i="2" s="1"/>
  <c r="I1049" i="2" s="1"/>
  <c r="B1049" i="2"/>
  <c r="D1048" i="2"/>
  <c r="C1048" i="2"/>
  <c r="G1048" i="2" s="1"/>
  <c r="H1048" i="2" s="1"/>
  <c r="I1048" i="2" s="1"/>
  <c r="B1048" i="2"/>
  <c r="D1047" i="2"/>
  <c r="C1047" i="2"/>
  <c r="G1047" i="2" s="1"/>
  <c r="H1047" i="2" s="1"/>
  <c r="I1047" i="2" s="1"/>
  <c r="B1047" i="2"/>
  <c r="D1046" i="2"/>
  <c r="C1046" i="2"/>
  <c r="G1046" i="2" s="1"/>
  <c r="H1046" i="2" s="1"/>
  <c r="I1046" i="2" s="1"/>
  <c r="B1046" i="2"/>
  <c r="D1045" i="2"/>
  <c r="C1045" i="2"/>
  <c r="G1045" i="2" s="1"/>
  <c r="H1045" i="2" s="1"/>
  <c r="I1045" i="2" s="1"/>
  <c r="B1045" i="2"/>
  <c r="D1044" i="2"/>
  <c r="C1044" i="2"/>
  <c r="G1044" i="2" s="1"/>
  <c r="H1044" i="2" s="1"/>
  <c r="I1044" i="2" s="1"/>
  <c r="B1044" i="2"/>
  <c r="D1043" i="2"/>
  <c r="C1043" i="2"/>
  <c r="G1043" i="2" s="1"/>
  <c r="H1043" i="2" s="1"/>
  <c r="I1043" i="2" s="1"/>
  <c r="B1043" i="2"/>
  <c r="D1042" i="2"/>
  <c r="C1042" i="2"/>
  <c r="G1042" i="2" s="1"/>
  <c r="H1042" i="2" s="1"/>
  <c r="I1042" i="2" s="1"/>
  <c r="B1042" i="2"/>
  <c r="D1041" i="2"/>
  <c r="C1041" i="2"/>
  <c r="G1041" i="2" s="1"/>
  <c r="H1041" i="2" s="1"/>
  <c r="I1041" i="2" s="1"/>
  <c r="B1041" i="2"/>
  <c r="D1040" i="2"/>
  <c r="C1040" i="2"/>
  <c r="G1040" i="2" s="1"/>
  <c r="H1040" i="2" s="1"/>
  <c r="I1040" i="2" s="1"/>
  <c r="B1040" i="2"/>
  <c r="D1039" i="2"/>
  <c r="C1039" i="2"/>
  <c r="G1039" i="2" s="1"/>
  <c r="H1039" i="2" s="1"/>
  <c r="I1039" i="2" s="1"/>
  <c r="B1039" i="2"/>
  <c r="D1038" i="2"/>
  <c r="C1038" i="2"/>
  <c r="G1038" i="2" s="1"/>
  <c r="H1038" i="2" s="1"/>
  <c r="I1038" i="2" s="1"/>
  <c r="B1038" i="2"/>
  <c r="D1037" i="2"/>
  <c r="C1037" i="2"/>
  <c r="G1037" i="2" s="1"/>
  <c r="H1037" i="2" s="1"/>
  <c r="I1037" i="2" s="1"/>
  <c r="B1037" i="2"/>
  <c r="D1036" i="2"/>
  <c r="C1036" i="2"/>
  <c r="G1036" i="2" s="1"/>
  <c r="H1036" i="2" s="1"/>
  <c r="I1036" i="2" s="1"/>
  <c r="B1036" i="2"/>
  <c r="D1035" i="2"/>
  <c r="C1035" i="2"/>
  <c r="G1035" i="2" s="1"/>
  <c r="H1035" i="2" s="1"/>
  <c r="I1035" i="2" s="1"/>
  <c r="B1035" i="2"/>
  <c r="D1034" i="2"/>
  <c r="C1034" i="2"/>
  <c r="G1034" i="2" s="1"/>
  <c r="H1034" i="2" s="1"/>
  <c r="I1034" i="2" s="1"/>
  <c r="B1034" i="2"/>
  <c r="D1033" i="2"/>
  <c r="C1033" i="2"/>
  <c r="G1033" i="2" s="1"/>
  <c r="H1033" i="2" s="1"/>
  <c r="I1033" i="2" s="1"/>
  <c r="B1033" i="2"/>
  <c r="D1032" i="2"/>
  <c r="C1032" i="2"/>
  <c r="G1032" i="2" s="1"/>
  <c r="H1032" i="2" s="1"/>
  <c r="I1032" i="2" s="1"/>
  <c r="B1032" i="2"/>
  <c r="D1031" i="2"/>
  <c r="C1031" i="2"/>
  <c r="G1031" i="2" s="1"/>
  <c r="H1031" i="2" s="1"/>
  <c r="I1031" i="2" s="1"/>
  <c r="B1031" i="2"/>
  <c r="D1030" i="2"/>
  <c r="C1030" i="2"/>
  <c r="G1030" i="2" s="1"/>
  <c r="H1030" i="2" s="1"/>
  <c r="I1030" i="2" s="1"/>
  <c r="B1030" i="2"/>
  <c r="D1029" i="2"/>
  <c r="C1029" i="2"/>
  <c r="G1029" i="2" s="1"/>
  <c r="H1029" i="2" s="1"/>
  <c r="I1029" i="2" s="1"/>
  <c r="B1029" i="2"/>
  <c r="D1028" i="2"/>
  <c r="C1028" i="2"/>
  <c r="G1028" i="2" s="1"/>
  <c r="H1028" i="2" s="1"/>
  <c r="I1028" i="2" s="1"/>
  <c r="B1028" i="2"/>
  <c r="D1027" i="2"/>
  <c r="C1027" i="2"/>
  <c r="G1027" i="2" s="1"/>
  <c r="H1027" i="2" s="1"/>
  <c r="I1027" i="2" s="1"/>
  <c r="B1027" i="2"/>
  <c r="D1026" i="2"/>
  <c r="C1026" i="2"/>
  <c r="G1026" i="2" s="1"/>
  <c r="H1026" i="2" s="1"/>
  <c r="I1026" i="2" s="1"/>
  <c r="B1026" i="2"/>
  <c r="D1025" i="2"/>
  <c r="C1025" i="2"/>
  <c r="G1025" i="2" s="1"/>
  <c r="H1025" i="2" s="1"/>
  <c r="I1025" i="2" s="1"/>
  <c r="B1025" i="2"/>
  <c r="D1024" i="2"/>
  <c r="C1024" i="2"/>
  <c r="G1024" i="2" s="1"/>
  <c r="H1024" i="2" s="1"/>
  <c r="I1024" i="2" s="1"/>
  <c r="B1024" i="2"/>
  <c r="D1023" i="2"/>
  <c r="C1023" i="2"/>
  <c r="G1023" i="2" s="1"/>
  <c r="H1023" i="2" s="1"/>
  <c r="I1023" i="2" s="1"/>
  <c r="B1023" i="2"/>
  <c r="D1022" i="2"/>
  <c r="C1022" i="2"/>
  <c r="G1022" i="2" s="1"/>
  <c r="H1022" i="2" s="1"/>
  <c r="I1022" i="2" s="1"/>
  <c r="B1022" i="2"/>
  <c r="D1021" i="2"/>
  <c r="C1021" i="2"/>
  <c r="G1021" i="2" s="1"/>
  <c r="H1021" i="2" s="1"/>
  <c r="I1021" i="2" s="1"/>
  <c r="B1021" i="2"/>
  <c r="D1020" i="2"/>
  <c r="C1020" i="2"/>
  <c r="G1020" i="2" s="1"/>
  <c r="H1020" i="2" s="1"/>
  <c r="I1020" i="2" s="1"/>
  <c r="B1020" i="2"/>
  <c r="D1019" i="2"/>
  <c r="C1019" i="2"/>
  <c r="G1019" i="2" s="1"/>
  <c r="H1019" i="2" s="1"/>
  <c r="I1019" i="2" s="1"/>
  <c r="B1019" i="2"/>
  <c r="D1018" i="2"/>
  <c r="C1018" i="2"/>
  <c r="G1018" i="2" s="1"/>
  <c r="H1018" i="2" s="1"/>
  <c r="I1018" i="2" s="1"/>
  <c r="B1018" i="2"/>
  <c r="D1017" i="2"/>
  <c r="C1017" i="2"/>
  <c r="G1017" i="2" s="1"/>
  <c r="H1017" i="2" s="1"/>
  <c r="I1017" i="2" s="1"/>
  <c r="B1017" i="2"/>
  <c r="D1016" i="2"/>
  <c r="C1016" i="2"/>
  <c r="G1016" i="2" s="1"/>
  <c r="H1016" i="2" s="1"/>
  <c r="I1016" i="2" s="1"/>
  <c r="B1016" i="2"/>
  <c r="D1015" i="2"/>
  <c r="C1015" i="2"/>
  <c r="G1015" i="2" s="1"/>
  <c r="H1015" i="2" s="1"/>
  <c r="I1015" i="2" s="1"/>
  <c r="B1015" i="2"/>
  <c r="D1014" i="2"/>
  <c r="C1014" i="2"/>
  <c r="G1014" i="2" s="1"/>
  <c r="H1014" i="2" s="1"/>
  <c r="I1014" i="2" s="1"/>
  <c r="B1014" i="2"/>
  <c r="D1013" i="2"/>
  <c r="C1013" i="2"/>
  <c r="G1013" i="2" s="1"/>
  <c r="H1013" i="2" s="1"/>
  <c r="I1013" i="2" s="1"/>
  <c r="B1013" i="2"/>
  <c r="D1012" i="2"/>
  <c r="C1012" i="2"/>
  <c r="G1012" i="2" s="1"/>
  <c r="H1012" i="2" s="1"/>
  <c r="I1012" i="2" s="1"/>
  <c r="B1012" i="2"/>
  <c r="D1011" i="2"/>
  <c r="C1011" i="2"/>
  <c r="G1011" i="2" s="1"/>
  <c r="H1011" i="2" s="1"/>
  <c r="I1011" i="2" s="1"/>
  <c r="B1011" i="2"/>
  <c r="D1010" i="2"/>
  <c r="C1010" i="2"/>
  <c r="G1010" i="2" s="1"/>
  <c r="H1010" i="2" s="1"/>
  <c r="I1010" i="2" s="1"/>
  <c r="B1010" i="2"/>
  <c r="D1009" i="2"/>
  <c r="C1009" i="2"/>
  <c r="G1009" i="2" s="1"/>
  <c r="H1009" i="2" s="1"/>
  <c r="I1009" i="2" s="1"/>
  <c r="B1009" i="2"/>
  <c r="D1008" i="2"/>
  <c r="C1008" i="2"/>
  <c r="G1008" i="2" s="1"/>
  <c r="H1008" i="2" s="1"/>
  <c r="I1008" i="2" s="1"/>
  <c r="B1008" i="2"/>
  <c r="D1007" i="2"/>
  <c r="C1007" i="2"/>
  <c r="G1007" i="2" s="1"/>
  <c r="H1007" i="2" s="1"/>
  <c r="I1007" i="2" s="1"/>
  <c r="B1007" i="2"/>
  <c r="D1006" i="2"/>
  <c r="C1006" i="2"/>
  <c r="G1006" i="2" s="1"/>
  <c r="H1006" i="2" s="1"/>
  <c r="I1006" i="2" s="1"/>
  <c r="B1006" i="2"/>
  <c r="D1005" i="2"/>
  <c r="C1005" i="2"/>
  <c r="G1005" i="2" s="1"/>
  <c r="H1005" i="2" s="1"/>
  <c r="I1005" i="2" s="1"/>
  <c r="B1005" i="2"/>
  <c r="D1004" i="2"/>
  <c r="C1004" i="2"/>
  <c r="G1004" i="2" s="1"/>
  <c r="H1004" i="2" s="1"/>
  <c r="I1004" i="2" s="1"/>
  <c r="B1004" i="2"/>
  <c r="D1003" i="2"/>
  <c r="C1003" i="2"/>
  <c r="G1003" i="2" s="1"/>
  <c r="H1003" i="2" s="1"/>
  <c r="I1003" i="2" s="1"/>
  <c r="B1003" i="2"/>
  <c r="D1002" i="2"/>
  <c r="C1002" i="2"/>
  <c r="G1002" i="2" s="1"/>
  <c r="H1002" i="2" s="1"/>
  <c r="I1002" i="2" s="1"/>
  <c r="B1002" i="2"/>
  <c r="D1001" i="2"/>
  <c r="C1001" i="2"/>
  <c r="G1001" i="2" s="1"/>
  <c r="H1001" i="2" s="1"/>
  <c r="I1001" i="2" s="1"/>
  <c r="B1001" i="2"/>
  <c r="D1000" i="2"/>
  <c r="C1000" i="2"/>
  <c r="G1000" i="2" s="1"/>
  <c r="H1000" i="2" s="1"/>
  <c r="I1000" i="2" s="1"/>
  <c r="B1000" i="2"/>
  <c r="D999" i="2"/>
  <c r="C999" i="2"/>
  <c r="G999" i="2" s="1"/>
  <c r="H999" i="2" s="1"/>
  <c r="I999" i="2" s="1"/>
  <c r="B999" i="2"/>
  <c r="D998" i="2"/>
  <c r="C998" i="2"/>
  <c r="G998" i="2" s="1"/>
  <c r="H998" i="2" s="1"/>
  <c r="I998" i="2" s="1"/>
  <c r="B998" i="2"/>
  <c r="D997" i="2"/>
  <c r="C997" i="2"/>
  <c r="G997" i="2" s="1"/>
  <c r="H997" i="2" s="1"/>
  <c r="I997" i="2" s="1"/>
  <c r="B997" i="2"/>
  <c r="D996" i="2"/>
  <c r="C996" i="2"/>
  <c r="G996" i="2" s="1"/>
  <c r="H996" i="2" s="1"/>
  <c r="I996" i="2" s="1"/>
  <c r="B996" i="2"/>
  <c r="D995" i="2"/>
  <c r="C995" i="2"/>
  <c r="G995" i="2" s="1"/>
  <c r="H995" i="2" s="1"/>
  <c r="I995" i="2" s="1"/>
  <c r="B995" i="2"/>
  <c r="D994" i="2"/>
  <c r="C994" i="2"/>
  <c r="G994" i="2" s="1"/>
  <c r="H994" i="2" s="1"/>
  <c r="I994" i="2" s="1"/>
  <c r="B994" i="2"/>
  <c r="D993" i="2"/>
  <c r="C993" i="2"/>
  <c r="G993" i="2" s="1"/>
  <c r="H993" i="2" s="1"/>
  <c r="I993" i="2" s="1"/>
  <c r="B993" i="2"/>
  <c r="D992" i="2"/>
  <c r="C992" i="2"/>
  <c r="G992" i="2" s="1"/>
  <c r="H992" i="2" s="1"/>
  <c r="I992" i="2" s="1"/>
  <c r="B992" i="2"/>
  <c r="D991" i="2"/>
  <c r="C991" i="2"/>
  <c r="G991" i="2" s="1"/>
  <c r="H991" i="2" s="1"/>
  <c r="I991" i="2" s="1"/>
  <c r="B991" i="2"/>
  <c r="D990" i="2"/>
  <c r="C990" i="2"/>
  <c r="G990" i="2" s="1"/>
  <c r="H990" i="2" s="1"/>
  <c r="I990" i="2" s="1"/>
  <c r="B990" i="2"/>
  <c r="D989" i="2"/>
  <c r="C989" i="2"/>
  <c r="G989" i="2" s="1"/>
  <c r="H989" i="2" s="1"/>
  <c r="I989" i="2" s="1"/>
  <c r="B989" i="2"/>
  <c r="D988" i="2"/>
  <c r="C988" i="2"/>
  <c r="G988" i="2" s="1"/>
  <c r="H988" i="2" s="1"/>
  <c r="I988" i="2" s="1"/>
  <c r="B988" i="2"/>
  <c r="D987" i="2"/>
  <c r="C987" i="2"/>
  <c r="G987" i="2" s="1"/>
  <c r="H987" i="2" s="1"/>
  <c r="I987" i="2" s="1"/>
  <c r="B987" i="2"/>
  <c r="D986" i="2"/>
  <c r="C986" i="2"/>
  <c r="G986" i="2" s="1"/>
  <c r="H986" i="2" s="1"/>
  <c r="I986" i="2" s="1"/>
  <c r="B986" i="2"/>
  <c r="D985" i="2"/>
  <c r="C985" i="2"/>
  <c r="G985" i="2" s="1"/>
  <c r="H985" i="2" s="1"/>
  <c r="I985" i="2" s="1"/>
  <c r="B985" i="2"/>
  <c r="D984" i="2"/>
  <c r="C984" i="2"/>
  <c r="G984" i="2" s="1"/>
  <c r="H984" i="2" s="1"/>
  <c r="I984" i="2" s="1"/>
  <c r="B984" i="2"/>
  <c r="D983" i="2"/>
  <c r="C983" i="2"/>
  <c r="G983" i="2" s="1"/>
  <c r="H983" i="2" s="1"/>
  <c r="I983" i="2" s="1"/>
  <c r="B983" i="2"/>
  <c r="D982" i="2"/>
  <c r="C982" i="2"/>
  <c r="G982" i="2" s="1"/>
  <c r="H982" i="2" s="1"/>
  <c r="I982" i="2" s="1"/>
  <c r="B982" i="2"/>
  <c r="D981" i="2"/>
  <c r="C981" i="2"/>
  <c r="G981" i="2" s="1"/>
  <c r="H981" i="2" s="1"/>
  <c r="I981" i="2" s="1"/>
  <c r="B981" i="2"/>
  <c r="D980" i="2"/>
  <c r="C980" i="2"/>
  <c r="G980" i="2" s="1"/>
  <c r="H980" i="2" s="1"/>
  <c r="I980" i="2" s="1"/>
  <c r="B980" i="2"/>
  <c r="D979" i="2"/>
  <c r="C979" i="2"/>
  <c r="G979" i="2" s="1"/>
  <c r="H979" i="2" s="1"/>
  <c r="I979" i="2" s="1"/>
  <c r="B979" i="2"/>
  <c r="D978" i="2"/>
  <c r="C978" i="2"/>
  <c r="G978" i="2" s="1"/>
  <c r="H978" i="2" s="1"/>
  <c r="I978" i="2" s="1"/>
  <c r="B978" i="2"/>
  <c r="D977" i="2"/>
  <c r="C977" i="2"/>
  <c r="G977" i="2" s="1"/>
  <c r="H977" i="2" s="1"/>
  <c r="I977" i="2" s="1"/>
  <c r="B977" i="2"/>
  <c r="D976" i="2"/>
  <c r="C976" i="2"/>
  <c r="G976" i="2" s="1"/>
  <c r="H976" i="2" s="1"/>
  <c r="I976" i="2" s="1"/>
  <c r="B976" i="2"/>
  <c r="D975" i="2"/>
  <c r="C975" i="2"/>
  <c r="G975" i="2" s="1"/>
  <c r="H975" i="2" s="1"/>
  <c r="I975" i="2" s="1"/>
  <c r="B975" i="2"/>
  <c r="D974" i="2"/>
  <c r="C974" i="2"/>
  <c r="G974" i="2" s="1"/>
  <c r="H974" i="2" s="1"/>
  <c r="I974" i="2" s="1"/>
  <c r="B974" i="2"/>
  <c r="D973" i="2"/>
  <c r="C973" i="2"/>
  <c r="G973" i="2" s="1"/>
  <c r="H973" i="2" s="1"/>
  <c r="I973" i="2" s="1"/>
  <c r="B973" i="2"/>
  <c r="D972" i="2"/>
  <c r="C972" i="2"/>
  <c r="G972" i="2" s="1"/>
  <c r="H972" i="2" s="1"/>
  <c r="I972" i="2" s="1"/>
  <c r="B972" i="2"/>
  <c r="D971" i="2"/>
  <c r="C971" i="2"/>
  <c r="G971" i="2" s="1"/>
  <c r="H971" i="2" s="1"/>
  <c r="I971" i="2" s="1"/>
  <c r="B971" i="2"/>
  <c r="D970" i="2"/>
  <c r="C970" i="2"/>
  <c r="G970" i="2" s="1"/>
  <c r="H970" i="2" s="1"/>
  <c r="I970" i="2" s="1"/>
  <c r="B970" i="2"/>
  <c r="D969" i="2"/>
  <c r="C969" i="2"/>
  <c r="G969" i="2" s="1"/>
  <c r="H969" i="2" s="1"/>
  <c r="I969" i="2" s="1"/>
  <c r="B969" i="2"/>
  <c r="D968" i="2"/>
  <c r="C968" i="2"/>
  <c r="G968" i="2" s="1"/>
  <c r="H968" i="2" s="1"/>
  <c r="I968" i="2" s="1"/>
  <c r="B968" i="2"/>
  <c r="D967" i="2"/>
  <c r="C967" i="2"/>
  <c r="G967" i="2" s="1"/>
  <c r="H967" i="2" s="1"/>
  <c r="I967" i="2" s="1"/>
  <c r="B967" i="2"/>
  <c r="D966" i="2"/>
  <c r="C966" i="2"/>
  <c r="G966" i="2" s="1"/>
  <c r="H966" i="2" s="1"/>
  <c r="I966" i="2" s="1"/>
  <c r="B966" i="2"/>
  <c r="D965" i="2"/>
  <c r="C965" i="2"/>
  <c r="G965" i="2" s="1"/>
  <c r="H965" i="2" s="1"/>
  <c r="I965" i="2" s="1"/>
  <c r="B965" i="2"/>
  <c r="D964" i="2"/>
  <c r="C964" i="2"/>
  <c r="G964" i="2" s="1"/>
  <c r="H964" i="2" s="1"/>
  <c r="I964" i="2" s="1"/>
  <c r="B964" i="2"/>
  <c r="D963" i="2"/>
  <c r="C963" i="2"/>
  <c r="G963" i="2" s="1"/>
  <c r="H963" i="2" s="1"/>
  <c r="I963" i="2" s="1"/>
  <c r="B963" i="2"/>
  <c r="D962" i="2"/>
  <c r="C962" i="2"/>
  <c r="G962" i="2" s="1"/>
  <c r="H962" i="2" s="1"/>
  <c r="I962" i="2" s="1"/>
  <c r="B962" i="2"/>
  <c r="D961" i="2"/>
  <c r="C961" i="2"/>
  <c r="G961" i="2" s="1"/>
  <c r="H961" i="2" s="1"/>
  <c r="I961" i="2" s="1"/>
  <c r="B961" i="2"/>
  <c r="D960" i="2"/>
  <c r="C960" i="2"/>
  <c r="G960" i="2" s="1"/>
  <c r="H960" i="2" s="1"/>
  <c r="I960" i="2" s="1"/>
  <c r="B960" i="2"/>
  <c r="E959" i="2"/>
  <c r="D959" i="2"/>
  <c r="C959" i="2"/>
  <c r="G959" i="2" s="1"/>
  <c r="H959" i="2" s="1"/>
  <c r="I959" i="2" s="1"/>
  <c r="B959" i="2"/>
  <c r="D958" i="2"/>
  <c r="C958" i="2"/>
  <c r="G958" i="2" s="1"/>
  <c r="H958" i="2" s="1"/>
  <c r="I958" i="2" s="1"/>
  <c r="B958" i="2"/>
  <c r="D957" i="2"/>
  <c r="C957" i="2"/>
  <c r="G957" i="2" s="1"/>
  <c r="H957" i="2" s="1"/>
  <c r="I957" i="2" s="1"/>
  <c r="B957" i="2"/>
  <c r="D956" i="2"/>
  <c r="C956" i="2"/>
  <c r="G956" i="2" s="1"/>
  <c r="H956" i="2" s="1"/>
  <c r="I956" i="2" s="1"/>
  <c r="B956" i="2"/>
  <c r="D955" i="2"/>
  <c r="C955" i="2"/>
  <c r="G955" i="2" s="1"/>
  <c r="H955" i="2" s="1"/>
  <c r="I955" i="2" s="1"/>
  <c r="B955" i="2"/>
  <c r="D954" i="2"/>
  <c r="C954" i="2"/>
  <c r="G954" i="2" s="1"/>
  <c r="H954" i="2" s="1"/>
  <c r="I954" i="2" s="1"/>
  <c r="B954" i="2"/>
  <c r="D953" i="2"/>
  <c r="C953" i="2"/>
  <c r="G953" i="2" s="1"/>
  <c r="H953" i="2" s="1"/>
  <c r="I953" i="2" s="1"/>
  <c r="B953" i="2"/>
  <c r="D952" i="2"/>
  <c r="C952" i="2"/>
  <c r="G952" i="2" s="1"/>
  <c r="H952" i="2" s="1"/>
  <c r="I952" i="2" s="1"/>
  <c r="B952" i="2"/>
  <c r="D951" i="2"/>
  <c r="C951" i="2"/>
  <c r="G951" i="2" s="1"/>
  <c r="H951" i="2" s="1"/>
  <c r="I951" i="2" s="1"/>
  <c r="B951" i="2"/>
  <c r="D950" i="2"/>
  <c r="C950" i="2"/>
  <c r="G950" i="2" s="1"/>
  <c r="H950" i="2" s="1"/>
  <c r="I950" i="2" s="1"/>
  <c r="B950" i="2"/>
  <c r="D949" i="2"/>
  <c r="C949" i="2"/>
  <c r="G949" i="2" s="1"/>
  <c r="H949" i="2" s="1"/>
  <c r="I949" i="2" s="1"/>
  <c r="B949" i="2"/>
  <c r="D948" i="2"/>
  <c r="C948" i="2"/>
  <c r="G948" i="2" s="1"/>
  <c r="H948" i="2" s="1"/>
  <c r="I948" i="2" s="1"/>
  <c r="B948" i="2"/>
  <c r="D947" i="2"/>
  <c r="C947" i="2"/>
  <c r="G947" i="2" s="1"/>
  <c r="H947" i="2" s="1"/>
  <c r="I947" i="2" s="1"/>
  <c r="B947" i="2"/>
  <c r="D946" i="2"/>
  <c r="C946" i="2"/>
  <c r="G946" i="2" s="1"/>
  <c r="H946" i="2" s="1"/>
  <c r="I946" i="2" s="1"/>
  <c r="B946" i="2"/>
  <c r="D945" i="2"/>
  <c r="C945" i="2"/>
  <c r="G945" i="2" s="1"/>
  <c r="H945" i="2" s="1"/>
  <c r="I945" i="2" s="1"/>
  <c r="B945" i="2"/>
  <c r="D944" i="2"/>
  <c r="C944" i="2"/>
  <c r="G944" i="2" s="1"/>
  <c r="H944" i="2" s="1"/>
  <c r="I944" i="2" s="1"/>
  <c r="B944" i="2"/>
  <c r="D943" i="2"/>
  <c r="C943" i="2"/>
  <c r="G943" i="2" s="1"/>
  <c r="H943" i="2" s="1"/>
  <c r="I943" i="2" s="1"/>
  <c r="B943" i="2"/>
  <c r="D942" i="2"/>
  <c r="C942" i="2"/>
  <c r="G942" i="2" s="1"/>
  <c r="H942" i="2" s="1"/>
  <c r="I942" i="2" s="1"/>
  <c r="B942" i="2"/>
  <c r="D941" i="2"/>
  <c r="C941" i="2"/>
  <c r="G941" i="2" s="1"/>
  <c r="H941" i="2" s="1"/>
  <c r="I941" i="2" s="1"/>
  <c r="B941" i="2"/>
  <c r="D940" i="2"/>
  <c r="C940" i="2"/>
  <c r="G940" i="2" s="1"/>
  <c r="H940" i="2" s="1"/>
  <c r="I940" i="2" s="1"/>
  <c r="B940" i="2"/>
  <c r="D939" i="2"/>
  <c r="C939" i="2"/>
  <c r="G939" i="2" s="1"/>
  <c r="H939" i="2" s="1"/>
  <c r="I939" i="2" s="1"/>
  <c r="B939" i="2"/>
  <c r="D938" i="2"/>
  <c r="C938" i="2"/>
  <c r="G938" i="2" s="1"/>
  <c r="H938" i="2" s="1"/>
  <c r="I938" i="2" s="1"/>
  <c r="B938" i="2"/>
  <c r="D937" i="2"/>
  <c r="C937" i="2"/>
  <c r="G937" i="2" s="1"/>
  <c r="H937" i="2" s="1"/>
  <c r="I937" i="2" s="1"/>
  <c r="B937" i="2"/>
  <c r="D936" i="2"/>
  <c r="C936" i="2"/>
  <c r="G936" i="2" s="1"/>
  <c r="H936" i="2" s="1"/>
  <c r="I936" i="2" s="1"/>
  <c r="B936" i="2"/>
  <c r="D935" i="2"/>
  <c r="C935" i="2"/>
  <c r="G935" i="2" s="1"/>
  <c r="H935" i="2" s="1"/>
  <c r="I935" i="2" s="1"/>
  <c r="B935" i="2"/>
  <c r="D934" i="2"/>
  <c r="C934" i="2"/>
  <c r="G934" i="2" s="1"/>
  <c r="H934" i="2" s="1"/>
  <c r="I934" i="2" s="1"/>
  <c r="B934" i="2"/>
  <c r="D933" i="2"/>
  <c r="C933" i="2"/>
  <c r="G933" i="2" s="1"/>
  <c r="H933" i="2" s="1"/>
  <c r="I933" i="2" s="1"/>
  <c r="B933" i="2"/>
  <c r="D932" i="2"/>
  <c r="C932" i="2"/>
  <c r="G932" i="2" s="1"/>
  <c r="H932" i="2" s="1"/>
  <c r="I932" i="2" s="1"/>
  <c r="B932" i="2"/>
  <c r="D931" i="2"/>
  <c r="C931" i="2"/>
  <c r="G931" i="2" s="1"/>
  <c r="H931" i="2" s="1"/>
  <c r="I931" i="2" s="1"/>
  <c r="B931" i="2"/>
  <c r="D930" i="2"/>
  <c r="C930" i="2"/>
  <c r="G930" i="2" s="1"/>
  <c r="H930" i="2" s="1"/>
  <c r="I930" i="2" s="1"/>
  <c r="B930" i="2"/>
  <c r="D929" i="2"/>
  <c r="C929" i="2"/>
  <c r="G929" i="2" s="1"/>
  <c r="H929" i="2" s="1"/>
  <c r="I929" i="2" s="1"/>
  <c r="B929" i="2"/>
  <c r="D928" i="2"/>
  <c r="C928" i="2"/>
  <c r="G928" i="2" s="1"/>
  <c r="H928" i="2" s="1"/>
  <c r="I928" i="2" s="1"/>
  <c r="B928" i="2"/>
  <c r="D927" i="2"/>
  <c r="C927" i="2"/>
  <c r="G927" i="2" s="1"/>
  <c r="H927" i="2" s="1"/>
  <c r="I927" i="2" s="1"/>
  <c r="B927" i="2"/>
  <c r="D926" i="2"/>
  <c r="C926" i="2"/>
  <c r="G926" i="2" s="1"/>
  <c r="H926" i="2" s="1"/>
  <c r="I926" i="2" s="1"/>
  <c r="B926" i="2"/>
  <c r="D925" i="2"/>
  <c r="C925" i="2"/>
  <c r="G925" i="2" s="1"/>
  <c r="H925" i="2" s="1"/>
  <c r="I925" i="2" s="1"/>
  <c r="B925" i="2"/>
  <c r="D924" i="2"/>
  <c r="C924" i="2"/>
  <c r="G924" i="2" s="1"/>
  <c r="H924" i="2" s="1"/>
  <c r="I924" i="2" s="1"/>
  <c r="B924" i="2"/>
  <c r="D923" i="2"/>
  <c r="C923" i="2"/>
  <c r="G923" i="2" s="1"/>
  <c r="H923" i="2" s="1"/>
  <c r="I923" i="2" s="1"/>
  <c r="B923" i="2"/>
  <c r="D922" i="2"/>
  <c r="C922" i="2"/>
  <c r="G922" i="2" s="1"/>
  <c r="H922" i="2" s="1"/>
  <c r="I922" i="2" s="1"/>
  <c r="B922" i="2"/>
  <c r="D921" i="2"/>
  <c r="C921" i="2"/>
  <c r="G921" i="2" s="1"/>
  <c r="H921" i="2" s="1"/>
  <c r="I921" i="2" s="1"/>
  <c r="B921" i="2"/>
  <c r="D920" i="2"/>
  <c r="C920" i="2"/>
  <c r="G920" i="2" s="1"/>
  <c r="H920" i="2" s="1"/>
  <c r="I920" i="2" s="1"/>
  <c r="B920" i="2"/>
  <c r="D919" i="2"/>
  <c r="C919" i="2"/>
  <c r="G919" i="2" s="1"/>
  <c r="H919" i="2" s="1"/>
  <c r="I919" i="2" s="1"/>
  <c r="B919" i="2"/>
  <c r="D918" i="2"/>
  <c r="C918" i="2"/>
  <c r="G918" i="2" s="1"/>
  <c r="H918" i="2" s="1"/>
  <c r="I918" i="2" s="1"/>
  <c r="B918" i="2"/>
  <c r="D917" i="2"/>
  <c r="C917" i="2"/>
  <c r="G917" i="2" s="1"/>
  <c r="H917" i="2" s="1"/>
  <c r="I917" i="2" s="1"/>
  <c r="B917" i="2"/>
  <c r="D916" i="2"/>
  <c r="C916" i="2"/>
  <c r="G916" i="2" s="1"/>
  <c r="H916" i="2" s="1"/>
  <c r="I916" i="2" s="1"/>
  <c r="B916" i="2"/>
  <c r="D915" i="2"/>
  <c r="C915" i="2"/>
  <c r="G915" i="2" s="1"/>
  <c r="H915" i="2" s="1"/>
  <c r="I915" i="2" s="1"/>
  <c r="B915" i="2"/>
  <c r="D914" i="2"/>
  <c r="C914" i="2"/>
  <c r="G914" i="2" s="1"/>
  <c r="H914" i="2" s="1"/>
  <c r="I914" i="2" s="1"/>
  <c r="B914" i="2"/>
  <c r="D913" i="2"/>
  <c r="C913" i="2"/>
  <c r="G913" i="2" s="1"/>
  <c r="H913" i="2" s="1"/>
  <c r="I913" i="2" s="1"/>
  <c r="B913" i="2"/>
  <c r="D912" i="2"/>
  <c r="C912" i="2"/>
  <c r="G912" i="2" s="1"/>
  <c r="H912" i="2" s="1"/>
  <c r="I912" i="2" s="1"/>
  <c r="B912" i="2"/>
  <c r="D911" i="2"/>
  <c r="C911" i="2"/>
  <c r="G911" i="2" s="1"/>
  <c r="H911" i="2" s="1"/>
  <c r="I911" i="2" s="1"/>
  <c r="B911" i="2"/>
  <c r="D910" i="2"/>
  <c r="C910" i="2"/>
  <c r="G910" i="2" s="1"/>
  <c r="H910" i="2" s="1"/>
  <c r="I910" i="2" s="1"/>
  <c r="B910" i="2"/>
  <c r="D909" i="2"/>
  <c r="C909" i="2"/>
  <c r="G909" i="2" s="1"/>
  <c r="H909" i="2" s="1"/>
  <c r="I909" i="2" s="1"/>
  <c r="B909" i="2"/>
  <c r="D908" i="2"/>
  <c r="C908" i="2"/>
  <c r="G908" i="2" s="1"/>
  <c r="H908" i="2" s="1"/>
  <c r="I908" i="2" s="1"/>
  <c r="B908" i="2"/>
  <c r="D907" i="2"/>
  <c r="C907" i="2"/>
  <c r="G907" i="2" s="1"/>
  <c r="H907" i="2" s="1"/>
  <c r="I907" i="2" s="1"/>
  <c r="B907" i="2"/>
  <c r="D906" i="2"/>
  <c r="C906" i="2"/>
  <c r="G906" i="2" s="1"/>
  <c r="H906" i="2" s="1"/>
  <c r="I906" i="2" s="1"/>
  <c r="B906" i="2"/>
  <c r="D905" i="2"/>
  <c r="C905" i="2"/>
  <c r="G905" i="2" s="1"/>
  <c r="H905" i="2" s="1"/>
  <c r="I905" i="2" s="1"/>
  <c r="B905" i="2"/>
  <c r="D904" i="2"/>
  <c r="C904" i="2"/>
  <c r="G904" i="2" s="1"/>
  <c r="H904" i="2" s="1"/>
  <c r="I904" i="2" s="1"/>
  <c r="B904" i="2"/>
  <c r="D903" i="2"/>
  <c r="C903" i="2"/>
  <c r="G903" i="2" s="1"/>
  <c r="H903" i="2" s="1"/>
  <c r="I903" i="2" s="1"/>
  <c r="B903" i="2"/>
  <c r="D902" i="2"/>
  <c r="C902" i="2"/>
  <c r="G902" i="2" s="1"/>
  <c r="H902" i="2" s="1"/>
  <c r="I902" i="2" s="1"/>
  <c r="B902" i="2"/>
  <c r="D901" i="2"/>
  <c r="C901" i="2"/>
  <c r="G901" i="2" s="1"/>
  <c r="H901" i="2" s="1"/>
  <c r="I901" i="2" s="1"/>
  <c r="B901" i="2"/>
  <c r="D900" i="2"/>
  <c r="C900" i="2"/>
  <c r="G900" i="2" s="1"/>
  <c r="H900" i="2" s="1"/>
  <c r="I900" i="2" s="1"/>
  <c r="B900" i="2"/>
  <c r="D899" i="2"/>
  <c r="C899" i="2"/>
  <c r="G899" i="2" s="1"/>
  <c r="H899" i="2" s="1"/>
  <c r="I899" i="2" s="1"/>
  <c r="B899" i="2"/>
  <c r="D898" i="2"/>
  <c r="C898" i="2"/>
  <c r="G898" i="2" s="1"/>
  <c r="H898" i="2" s="1"/>
  <c r="I898" i="2" s="1"/>
  <c r="B898" i="2"/>
  <c r="D897" i="2"/>
  <c r="C897" i="2"/>
  <c r="G897" i="2" s="1"/>
  <c r="H897" i="2" s="1"/>
  <c r="I897" i="2" s="1"/>
  <c r="B897" i="2"/>
  <c r="D896" i="2"/>
  <c r="C896" i="2"/>
  <c r="G896" i="2" s="1"/>
  <c r="H896" i="2" s="1"/>
  <c r="I896" i="2" s="1"/>
  <c r="B896" i="2"/>
  <c r="D895" i="2"/>
  <c r="C895" i="2"/>
  <c r="G895" i="2" s="1"/>
  <c r="H895" i="2" s="1"/>
  <c r="I895" i="2" s="1"/>
  <c r="B895" i="2"/>
  <c r="D894" i="2"/>
  <c r="C894" i="2"/>
  <c r="G894" i="2" s="1"/>
  <c r="H894" i="2" s="1"/>
  <c r="I894" i="2" s="1"/>
  <c r="B894" i="2"/>
  <c r="D893" i="2"/>
  <c r="C893" i="2"/>
  <c r="G893" i="2" s="1"/>
  <c r="H893" i="2" s="1"/>
  <c r="I893" i="2" s="1"/>
  <c r="B893" i="2"/>
  <c r="D892" i="2"/>
  <c r="C892" i="2"/>
  <c r="G892" i="2" s="1"/>
  <c r="H892" i="2" s="1"/>
  <c r="I892" i="2" s="1"/>
  <c r="B892" i="2"/>
  <c r="D891" i="2"/>
  <c r="C891" i="2"/>
  <c r="G891" i="2" s="1"/>
  <c r="H891" i="2" s="1"/>
  <c r="I891" i="2" s="1"/>
  <c r="B891" i="2"/>
  <c r="D890" i="2"/>
  <c r="C890" i="2"/>
  <c r="G890" i="2" s="1"/>
  <c r="H890" i="2" s="1"/>
  <c r="I890" i="2" s="1"/>
  <c r="B890" i="2"/>
  <c r="D889" i="2"/>
  <c r="C889" i="2"/>
  <c r="G889" i="2" s="1"/>
  <c r="H889" i="2" s="1"/>
  <c r="I889" i="2" s="1"/>
  <c r="B889" i="2"/>
  <c r="D888" i="2"/>
  <c r="C888" i="2"/>
  <c r="G888" i="2" s="1"/>
  <c r="H888" i="2" s="1"/>
  <c r="I888" i="2" s="1"/>
  <c r="B888" i="2"/>
  <c r="D887" i="2"/>
  <c r="C887" i="2"/>
  <c r="G887" i="2" s="1"/>
  <c r="H887" i="2" s="1"/>
  <c r="I887" i="2" s="1"/>
  <c r="B887" i="2"/>
  <c r="D886" i="2"/>
  <c r="C886" i="2"/>
  <c r="G886" i="2" s="1"/>
  <c r="H886" i="2" s="1"/>
  <c r="I886" i="2" s="1"/>
  <c r="B886" i="2"/>
  <c r="D885" i="2"/>
  <c r="C885" i="2"/>
  <c r="G885" i="2" s="1"/>
  <c r="H885" i="2" s="1"/>
  <c r="I885" i="2" s="1"/>
  <c r="B885" i="2"/>
  <c r="D884" i="2"/>
  <c r="C884" i="2"/>
  <c r="G884" i="2" s="1"/>
  <c r="H884" i="2" s="1"/>
  <c r="I884" i="2" s="1"/>
  <c r="B884" i="2"/>
  <c r="D883" i="2"/>
  <c r="C883" i="2"/>
  <c r="G883" i="2" s="1"/>
  <c r="H883" i="2" s="1"/>
  <c r="I883" i="2" s="1"/>
  <c r="B883" i="2"/>
  <c r="D882" i="2"/>
  <c r="C882" i="2"/>
  <c r="G882" i="2" s="1"/>
  <c r="H882" i="2" s="1"/>
  <c r="I882" i="2" s="1"/>
  <c r="B882" i="2"/>
  <c r="D881" i="2"/>
  <c r="C881" i="2"/>
  <c r="G881" i="2" s="1"/>
  <c r="H881" i="2" s="1"/>
  <c r="I881" i="2" s="1"/>
  <c r="B881" i="2"/>
  <c r="D880" i="2"/>
  <c r="C880" i="2"/>
  <c r="G880" i="2" s="1"/>
  <c r="H880" i="2" s="1"/>
  <c r="I880" i="2" s="1"/>
  <c r="B880" i="2"/>
  <c r="D879" i="2"/>
  <c r="C879" i="2"/>
  <c r="G879" i="2" s="1"/>
  <c r="H879" i="2" s="1"/>
  <c r="I879" i="2" s="1"/>
  <c r="B879" i="2"/>
  <c r="D878" i="2"/>
  <c r="C878" i="2"/>
  <c r="G878" i="2" s="1"/>
  <c r="H878" i="2" s="1"/>
  <c r="I878" i="2" s="1"/>
  <c r="B878" i="2"/>
  <c r="D877" i="2"/>
  <c r="C877" i="2"/>
  <c r="G877" i="2" s="1"/>
  <c r="H877" i="2" s="1"/>
  <c r="I877" i="2" s="1"/>
  <c r="B877" i="2"/>
  <c r="D876" i="2"/>
  <c r="C876" i="2"/>
  <c r="G876" i="2" s="1"/>
  <c r="H876" i="2" s="1"/>
  <c r="I876" i="2" s="1"/>
  <c r="B876" i="2"/>
  <c r="D875" i="2"/>
  <c r="C875" i="2"/>
  <c r="G875" i="2" s="1"/>
  <c r="H875" i="2" s="1"/>
  <c r="I875" i="2" s="1"/>
  <c r="B875" i="2"/>
  <c r="D874" i="2"/>
  <c r="C874" i="2"/>
  <c r="G874" i="2" s="1"/>
  <c r="H874" i="2" s="1"/>
  <c r="I874" i="2" s="1"/>
  <c r="B874" i="2"/>
  <c r="D873" i="2"/>
  <c r="C873" i="2"/>
  <c r="G873" i="2" s="1"/>
  <c r="H873" i="2" s="1"/>
  <c r="I873" i="2" s="1"/>
  <c r="B873" i="2"/>
  <c r="D872" i="2"/>
  <c r="C872" i="2"/>
  <c r="G872" i="2" s="1"/>
  <c r="H872" i="2" s="1"/>
  <c r="I872" i="2" s="1"/>
  <c r="B872" i="2"/>
  <c r="D871" i="2"/>
  <c r="C871" i="2"/>
  <c r="G871" i="2" s="1"/>
  <c r="H871" i="2" s="1"/>
  <c r="I871" i="2" s="1"/>
  <c r="B871" i="2"/>
  <c r="E870" i="2"/>
  <c r="D870" i="2"/>
  <c r="C870" i="2"/>
  <c r="G870" i="2" s="1"/>
  <c r="H870" i="2" s="1"/>
  <c r="I870" i="2" s="1"/>
  <c r="B870" i="2"/>
  <c r="E869" i="2"/>
  <c r="D869" i="2"/>
  <c r="C869" i="2"/>
  <c r="G869" i="2" s="1"/>
  <c r="H869" i="2" s="1"/>
  <c r="I869" i="2" s="1"/>
  <c r="B869" i="2"/>
  <c r="D868" i="2"/>
  <c r="C868" i="2"/>
  <c r="G868" i="2" s="1"/>
  <c r="H868" i="2" s="1"/>
  <c r="I868" i="2" s="1"/>
  <c r="B868" i="2"/>
  <c r="D867" i="2"/>
  <c r="C867" i="2"/>
  <c r="G867" i="2" s="1"/>
  <c r="H867" i="2" s="1"/>
  <c r="I867" i="2" s="1"/>
  <c r="B867" i="2"/>
  <c r="D866" i="2"/>
  <c r="C866" i="2"/>
  <c r="G866" i="2" s="1"/>
  <c r="H866" i="2" s="1"/>
  <c r="I866" i="2" s="1"/>
  <c r="B866" i="2"/>
  <c r="D865" i="2"/>
  <c r="C865" i="2"/>
  <c r="G865" i="2" s="1"/>
  <c r="H865" i="2" s="1"/>
  <c r="I865" i="2" s="1"/>
  <c r="B865" i="2"/>
  <c r="D864" i="2"/>
  <c r="C864" i="2"/>
  <c r="G864" i="2" s="1"/>
  <c r="H864" i="2" s="1"/>
  <c r="I864" i="2" s="1"/>
  <c r="B864" i="2"/>
  <c r="D863" i="2"/>
  <c r="C863" i="2"/>
  <c r="G863" i="2" s="1"/>
  <c r="H863" i="2" s="1"/>
  <c r="I863" i="2" s="1"/>
  <c r="B863" i="2"/>
  <c r="D862" i="2"/>
  <c r="C862" i="2"/>
  <c r="G862" i="2" s="1"/>
  <c r="H862" i="2" s="1"/>
  <c r="I862" i="2" s="1"/>
  <c r="B862" i="2"/>
  <c r="D861" i="2"/>
  <c r="C861" i="2"/>
  <c r="G861" i="2" s="1"/>
  <c r="H861" i="2" s="1"/>
  <c r="I861" i="2" s="1"/>
  <c r="B861" i="2"/>
  <c r="D860" i="2"/>
  <c r="C860" i="2"/>
  <c r="G860" i="2" s="1"/>
  <c r="H860" i="2" s="1"/>
  <c r="I860" i="2" s="1"/>
  <c r="B860" i="2"/>
  <c r="D859" i="2"/>
  <c r="C859" i="2"/>
  <c r="G859" i="2" s="1"/>
  <c r="H859" i="2" s="1"/>
  <c r="I859" i="2" s="1"/>
  <c r="B859" i="2"/>
  <c r="D858" i="2"/>
  <c r="C858" i="2"/>
  <c r="G858" i="2" s="1"/>
  <c r="H858" i="2" s="1"/>
  <c r="I858" i="2" s="1"/>
  <c r="B858" i="2"/>
  <c r="D857" i="2"/>
  <c r="C857" i="2"/>
  <c r="G857" i="2" s="1"/>
  <c r="H857" i="2" s="1"/>
  <c r="I857" i="2" s="1"/>
  <c r="B857" i="2"/>
  <c r="D856" i="2"/>
  <c r="C856" i="2"/>
  <c r="G856" i="2" s="1"/>
  <c r="H856" i="2" s="1"/>
  <c r="I856" i="2" s="1"/>
  <c r="B856" i="2"/>
  <c r="D855" i="2"/>
  <c r="C855" i="2"/>
  <c r="G855" i="2" s="1"/>
  <c r="H855" i="2" s="1"/>
  <c r="I855" i="2" s="1"/>
  <c r="B855" i="2"/>
  <c r="D854" i="2"/>
  <c r="C854" i="2"/>
  <c r="G854" i="2" s="1"/>
  <c r="H854" i="2" s="1"/>
  <c r="I854" i="2" s="1"/>
  <c r="B854" i="2"/>
  <c r="D853" i="2"/>
  <c r="C853" i="2"/>
  <c r="G853" i="2" s="1"/>
  <c r="H853" i="2" s="1"/>
  <c r="I853" i="2" s="1"/>
  <c r="B853" i="2"/>
  <c r="D852" i="2"/>
  <c r="C852" i="2"/>
  <c r="G852" i="2" s="1"/>
  <c r="H852" i="2" s="1"/>
  <c r="I852" i="2" s="1"/>
  <c r="B852" i="2"/>
  <c r="D851" i="2"/>
  <c r="C851" i="2"/>
  <c r="G851" i="2" s="1"/>
  <c r="H851" i="2" s="1"/>
  <c r="I851" i="2" s="1"/>
  <c r="B851" i="2"/>
  <c r="D850" i="2"/>
  <c r="C850" i="2"/>
  <c r="G850" i="2" s="1"/>
  <c r="H850" i="2" s="1"/>
  <c r="I850" i="2" s="1"/>
  <c r="B850" i="2"/>
  <c r="D849" i="2"/>
  <c r="C849" i="2"/>
  <c r="G849" i="2" s="1"/>
  <c r="H849" i="2" s="1"/>
  <c r="I849" i="2" s="1"/>
  <c r="B849" i="2"/>
  <c r="D848" i="2"/>
  <c r="C848" i="2"/>
  <c r="G848" i="2" s="1"/>
  <c r="H848" i="2" s="1"/>
  <c r="I848" i="2" s="1"/>
  <c r="B848" i="2"/>
  <c r="D847" i="2"/>
  <c r="C847" i="2"/>
  <c r="G847" i="2" s="1"/>
  <c r="H847" i="2" s="1"/>
  <c r="I847" i="2" s="1"/>
  <c r="B847" i="2"/>
  <c r="D846" i="2"/>
  <c r="C846" i="2"/>
  <c r="G846" i="2" s="1"/>
  <c r="H846" i="2" s="1"/>
  <c r="I846" i="2" s="1"/>
  <c r="B846" i="2"/>
  <c r="D845" i="2"/>
  <c r="C845" i="2"/>
  <c r="G845" i="2" s="1"/>
  <c r="H845" i="2" s="1"/>
  <c r="I845" i="2" s="1"/>
  <c r="B845" i="2"/>
  <c r="D844" i="2"/>
  <c r="C844" i="2"/>
  <c r="G844" i="2" s="1"/>
  <c r="H844" i="2" s="1"/>
  <c r="I844" i="2" s="1"/>
  <c r="B844" i="2"/>
  <c r="D843" i="2"/>
  <c r="C843" i="2"/>
  <c r="G843" i="2" s="1"/>
  <c r="H843" i="2" s="1"/>
  <c r="I843" i="2" s="1"/>
  <c r="B843" i="2"/>
  <c r="D842" i="2"/>
  <c r="C842" i="2"/>
  <c r="G842" i="2" s="1"/>
  <c r="H842" i="2" s="1"/>
  <c r="I842" i="2" s="1"/>
  <c r="B842" i="2"/>
  <c r="D841" i="2"/>
  <c r="C841" i="2"/>
  <c r="G841" i="2" s="1"/>
  <c r="H841" i="2" s="1"/>
  <c r="I841" i="2" s="1"/>
  <c r="B841" i="2"/>
  <c r="D840" i="2"/>
  <c r="C840" i="2"/>
  <c r="G840" i="2" s="1"/>
  <c r="H840" i="2" s="1"/>
  <c r="I840" i="2" s="1"/>
  <c r="B840" i="2"/>
  <c r="D839" i="2"/>
  <c r="C839" i="2"/>
  <c r="G839" i="2" s="1"/>
  <c r="H839" i="2" s="1"/>
  <c r="I839" i="2" s="1"/>
  <c r="B839" i="2"/>
  <c r="D838" i="2"/>
  <c r="C838" i="2"/>
  <c r="G838" i="2" s="1"/>
  <c r="H838" i="2" s="1"/>
  <c r="I838" i="2" s="1"/>
  <c r="B838" i="2"/>
  <c r="D837" i="2"/>
  <c r="C837" i="2"/>
  <c r="G837" i="2" s="1"/>
  <c r="H837" i="2" s="1"/>
  <c r="I837" i="2" s="1"/>
  <c r="B837" i="2"/>
  <c r="D836" i="2"/>
  <c r="C836" i="2"/>
  <c r="G836" i="2" s="1"/>
  <c r="H836" i="2" s="1"/>
  <c r="I836" i="2" s="1"/>
  <c r="B836" i="2"/>
  <c r="D835" i="2"/>
  <c r="C835" i="2"/>
  <c r="G835" i="2" s="1"/>
  <c r="H835" i="2" s="1"/>
  <c r="I835" i="2" s="1"/>
  <c r="B835" i="2"/>
  <c r="D834" i="2"/>
  <c r="C834" i="2"/>
  <c r="G834" i="2" s="1"/>
  <c r="H834" i="2" s="1"/>
  <c r="I834" i="2" s="1"/>
  <c r="B834" i="2"/>
  <c r="D833" i="2"/>
  <c r="C833" i="2"/>
  <c r="G833" i="2" s="1"/>
  <c r="H833" i="2" s="1"/>
  <c r="I833" i="2" s="1"/>
  <c r="B833" i="2"/>
  <c r="D832" i="2"/>
  <c r="C832" i="2"/>
  <c r="G832" i="2" s="1"/>
  <c r="H832" i="2" s="1"/>
  <c r="I832" i="2" s="1"/>
  <c r="B832" i="2"/>
  <c r="D831" i="2"/>
  <c r="C831" i="2"/>
  <c r="G831" i="2" s="1"/>
  <c r="H831" i="2" s="1"/>
  <c r="I831" i="2" s="1"/>
  <c r="B831" i="2"/>
  <c r="D830" i="2"/>
  <c r="C830" i="2"/>
  <c r="G830" i="2" s="1"/>
  <c r="H830" i="2" s="1"/>
  <c r="I830" i="2" s="1"/>
  <c r="B830" i="2"/>
  <c r="D829" i="2"/>
  <c r="C829" i="2"/>
  <c r="G829" i="2" s="1"/>
  <c r="H829" i="2" s="1"/>
  <c r="I829" i="2" s="1"/>
  <c r="B829" i="2"/>
  <c r="D828" i="2"/>
  <c r="C828" i="2"/>
  <c r="G828" i="2" s="1"/>
  <c r="H828" i="2" s="1"/>
  <c r="I828" i="2" s="1"/>
  <c r="B828" i="2"/>
  <c r="D827" i="2"/>
  <c r="C827" i="2"/>
  <c r="G827" i="2" s="1"/>
  <c r="H827" i="2" s="1"/>
  <c r="I827" i="2" s="1"/>
  <c r="B827" i="2"/>
  <c r="D826" i="2"/>
  <c r="C826" i="2"/>
  <c r="G826" i="2" s="1"/>
  <c r="H826" i="2" s="1"/>
  <c r="I826" i="2" s="1"/>
  <c r="B826" i="2"/>
  <c r="D825" i="2"/>
  <c r="C825" i="2"/>
  <c r="G825" i="2" s="1"/>
  <c r="H825" i="2" s="1"/>
  <c r="I825" i="2" s="1"/>
  <c r="B825" i="2"/>
  <c r="D824" i="2"/>
  <c r="C824" i="2"/>
  <c r="G824" i="2" s="1"/>
  <c r="H824" i="2" s="1"/>
  <c r="I824" i="2" s="1"/>
  <c r="B824" i="2"/>
  <c r="D823" i="2"/>
  <c r="C823" i="2"/>
  <c r="G823" i="2" s="1"/>
  <c r="H823" i="2" s="1"/>
  <c r="I823" i="2" s="1"/>
  <c r="B823" i="2"/>
  <c r="D822" i="2"/>
  <c r="C822" i="2"/>
  <c r="G822" i="2" s="1"/>
  <c r="H822" i="2" s="1"/>
  <c r="I822" i="2" s="1"/>
  <c r="B822" i="2"/>
  <c r="D821" i="2"/>
  <c r="C821" i="2"/>
  <c r="G821" i="2" s="1"/>
  <c r="H821" i="2" s="1"/>
  <c r="I821" i="2" s="1"/>
  <c r="B821" i="2"/>
  <c r="D820" i="2"/>
  <c r="C820" i="2"/>
  <c r="G820" i="2" s="1"/>
  <c r="H820" i="2" s="1"/>
  <c r="I820" i="2" s="1"/>
  <c r="B820" i="2"/>
  <c r="D819" i="2"/>
  <c r="C819" i="2"/>
  <c r="G819" i="2" s="1"/>
  <c r="H819" i="2" s="1"/>
  <c r="I819" i="2" s="1"/>
  <c r="B819" i="2"/>
  <c r="D818" i="2"/>
  <c r="C818" i="2"/>
  <c r="G818" i="2" s="1"/>
  <c r="H818" i="2" s="1"/>
  <c r="I818" i="2" s="1"/>
  <c r="B818" i="2"/>
  <c r="D817" i="2"/>
  <c r="C817" i="2"/>
  <c r="G817" i="2" s="1"/>
  <c r="H817" i="2" s="1"/>
  <c r="I817" i="2" s="1"/>
  <c r="B817" i="2"/>
  <c r="D816" i="2"/>
  <c r="C816" i="2"/>
  <c r="G816" i="2" s="1"/>
  <c r="H816" i="2" s="1"/>
  <c r="I816" i="2" s="1"/>
  <c r="B816" i="2"/>
  <c r="D815" i="2"/>
  <c r="C815" i="2"/>
  <c r="G815" i="2" s="1"/>
  <c r="H815" i="2" s="1"/>
  <c r="I815" i="2" s="1"/>
  <c r="B815" i="2"/>
  <c r="D814" i="2"/>
  <c r="C814" i="2"/>
  <c r="G814" i="2" s="1"/>
  <c r="H814" i="2" s="1"/>
  <c r="I814" i="2" s="1"/>
  <c r="B814" i="2"/>
  <c r="D813" i="2"/>
  <c r="C813" i="2"/>
  <c r="G813" i="2" s="1"/>
  <c r="H813" i="2" s="1"/>
  <c r="I813" i="2" s="1"/>
  <c r="B813" i="2"/>
  <c r="D812" i="2"/>
  <c r="C812" i="2"/>
  <c r="G812" i="2" s="1"/>
  <c r="H812" i="2" s="1"/>
  <c r="I812" i="2" s="1"/>
  <c r="B812" i="2"/>
  <c r="D811" i="2"/>
  <c r="C811" i="2"/>
  <c r="G811" i="2" s="1"/>
  <c r="H811" i="2" s="1"/>
  <c r="I811" i="2" s="1"/>
  <c r="B811" i="2"/>
  <c r="D810" i="2"/>
  <c r="C810" i="2"/>
  <c r="G810" i="2" s="1"/>
  <c r="H810" i="2" s="1"/>
  <c r="I810" i="2" s="1"/>
  <c r="B810" i="2"/>
  <c r="D809" i="2"/>
  <c r="C809" i="2"/>
  <c r="G809" i="2" s="1"/>
  <c r="H809" i="2" s="1"/>
  <c r="I809" i="2" s="1"/>
  <c r="B809" i="2"/>
  <c r="D808" i="2"/>
  <c r="C808" i="2"/>
  <c r="G808" i="2" s="1"/>
  <c r="H808" i="2" s="1"/>
  <c r="I808" i="2" s="1"/>
  <c r="B808" i="2"/>
  <c r="D807" i="2"/>
  <c r="C807" i="2"/>
  <c r="G807" i="2" s="1"/>
  <c r="H807" i="2" s="1"/>
  <c r="I807" i="2" s="1"/>
  <c r="B807" i="2"/>
  <c r="G806" i="2"/>
  <c r="H806" i="2" s="1"/>
  <c r="I806" i="2" s="1"/>
  <c r="D806" i="2"/>
  <c r="C806" i="2"/>
  <c r="B806" i="2"/>
  <c r="D805" i="2"/>
  <c r="C805" i="2"/>
  <c r="G805" i="2" s="1"/>
  <c r="H805" i="2" s="1"/>
  <c r="I805" i="2" s="1"/>
  <c r="B805" i="2"/>
  <c r="D804" i="2"/>
  <c r="C804" i="2"/>
  <c r="G804" i="2" s="1"/>
  <c r="H804" i="2" s="1"/>
  <c r="I804" i="2" s="1"/>
  <c r="B804" i="2"/>
  <c r="D803" i="2"/>
  <c r="C803" i="2"/>
  <c r="G803" i="2" s="1"/>
  <c r="H803" i="2" s="1"/>
  <c r="I803" i="2" s="1"/>
  <c r="B803" i="2"/>
  <c r="D802" i="2"/>
  <c r="C802" i="2"/>
  <c r="G802" i="2" s="1"/>
  <c r="H802" i="2" s="1"/>
  <c r="I802" i="2" s="1"/>
  <c r="B802" i="2"/>
  <c r="D801" i="2"/>
  <c r="C801" i="2"/>
  <c r="G801" i="2" s="1"/>
  <c r="H801" i="2" s="1"/>
  <c r="I801" i="2" s="1"/>
  <c r="B801" i="2"/>
  <c r="D800" i="2"/>
  <c r="C800" i="2"/>
  <c r="G800" i="2" s="1"/>
  <c r="H800" i="2" s="1"/>
  <c r="I800" i="2" s="1"/>
  <c r="B800" i="2"/>
  <c r="D799" i="2"/>
  <c r="C799" i="2"/>
  <c r="G799" i="2" s="1"/>
  <c r="H799" i="2" s="1"/>
  <c r="I799" i="2" s="1"/>
  <c r="B799" i="2"/>
  <c r="D798" i="2"/>
  <c r="C798" i="2"/>
  <c r="G798" i="2" s="1"/>
  <c r="H798" i="2" s="1"/>
  <c r="I798" i="2" s="1"/>
  <c r="B798" i="2"/>
  <c r="D797" i="2"/>
  <c r="C797" i="2"/>
  <c r="G797" i="2" s="1"/>
  <c r="H797" i="2" s="1"/>
  <c r="I797" i="2" s="1"/>
  <c r="B797" i="2"/>
  <c r="D796" i="2"/>
  <c r="C796" i="2"/>
  <c r="G796" i="2" s="1"/>
  <c r="H796" i="2" s="1"/>
  <c r="I796" i="2" s="1"/>
  <c r="B796" i="2"/>
  <c r="D795" i="2"/>
  <c r="C795" i="2"/>
  <c r="G795" i="2" s="1"/>
  <c r="H795" i="2" s="1"/>
  <c r="I795" i="2" s="1"/>
  <c r="B795" i="2"/>
  <c r="D794" i="2"/>
  <c r="C794" i="2"/>
  <c r="G794" i="2" s="1"/>
  <c r="H794" i="2" s="1"/>
  <c r="I794" i="2" s="1"/>
  <c r="B794" i="2"/>
  <c r="D793" i="2"/>
  <c r="C793" i="2"/>
  <c r="G793" i="2" s="1"/>
  <c r="H793" i="2" s="1"/>
  <c r="I793" i="2" s="1"/>
  <c r="B793" i="2"/>
  <c r="D792" i="2"/>
  <c r="C792" i="2"/>
  <c r="G792" i="2" s="1"/>
  <c r="H792" i="2" s="1"/>
  <c r="I792" i="2" s="1"/>
  <c r="B792" i="2"/>
  <c r="D791" i="2"/>
  <c r="C791" i="2"/>
  <c r="G791" i="2" s="1"/>
  <c r="H791" i="2" s="1"/>
  <c r="I791" i="2" s="1"/>
  <c r="B791" i="2"/>
  <c r="D790" i="2"/>
  <c r="C790" i="2"/>
  <c r="G790" i="2" s="1"/>
  <c r="H790" i="2" s="1"/>
  <c r="I790" i="2" s="1"/>
  <c r="B790" i="2"/>
  <c r="D789" i="2"/>
  <c r="C789" i="2"/>
  <c r="G789" i="2" s="1"/>
  <c r="H789" i="2" s="1"/>
  <c r="I789" i="2" s="1"/>
  <c r="B789" i="2"/>
  <c r="D788" i="2"/>
  <c r="C788" i="2"/>
  <c r="G788" i="2" s="1"/>
  <c r="H788" i="2" s="1"/>
  <c r="I788" i="2" s="1"/>
  <c r="B788" i="2"/>
  <c r="D787" i="2"/>
  <c r="C787" i="2"/>
  <c r="G787" i="2" s="1"/>
  <c r="H787" i="2" s="1"/>
  <c r="I787" i="2" s="1"/>
  <c r="B787" i="2"/>
  <c r="D786" i="2"/>
  <c r="C786" i="2"/>
  <c r="G786" i="2" s="1"/>
  <c r="H786" i="2" s="1"/>
  <c r="I786" i="2" s="1"/>
  <c r="B786" i="2"/>
  <c r="D785" i="2"/>
  <c r="C785" i="2"/>
  <c r="G785" i="2" s="1"/>
  <c r="H785" i="2" s="1"/>
  <c r="I785" i="2" s="1"/>
  <c r="B785" i="2"/>
  <c r="D784" i="2"/>
  <c r="C784" i="2"/>
  <c r="G784" i="2" s="1"/>
  <c r="H784" i="2" s="1"/>
  <c r="I784" i="2" s="1"/>
  <c r="B784" i="2"/>
  <c r="D783" i="2"/>
  <c r="C783" i="2"/>
  <c r="G783" i="2" s="1"/>
  <c r="H783" i="2" s="1"/>
  <c r="I783" i="2" s="1"/>
  <c r="B783" i="2"/>
  <c r="D782" i="2"/>
  <c r="C782" i="2"/>
  <c r="G782" i="2" s="1"/>
  <c r="H782" i="2" s="1"/>
  <c r="I782" i="2" s="1"/>
  <c r="B782" i="2"/>
  <c r="D781" i="2"/>
  <c r="C781" i="2"/>
  <c r="G781" i="2" s="1"/>
  <c r="H781" i="2" s="1"/>
  <c r="I781" i="2" s="1"/>
  <c r="B781" i="2"/>
  <c r="D780" i="2"/>
  <c r="C780" i="2"/>
  <c r="G780" i="2" s="1"/>
  <c r="H780" i="2" s="1"/>
  <c r="I780" i="2" s="1"/>
  <c r="B780" i="2"/>
  <c r="D779" i="2"/>
  <c r="C779" i="2"/>
  <c r="G779" i="2" s="1"/>
  <c r="H779" i="2" s="1"/>
  <c r="I779" i="2" s="1"/>
  <c r="B779" i="2"/>
  <c r="D778" i="2"/>
  <c r="C778" i="2"/>
  <c r="G778" i="2" s="1"/>
  <c r="H778" i="2" s="1"/>
  <c r="I778" i="2" s="1"/>
  <c r="B778" i="2"/>
  <c r="D777" i="2"/>
  <c r="C777" i="2"/>
  <c r="G777" i="2" s="1"/>
  <c r="H777" i="2" s="1"/>
  <c r="I777" i="2" s="1"/>
  <c r="B777" i="2"/>
  <c r="D776" i="2"/>
  <c r="C776" i="2"/>
  <c r="G776" i="2" s="1"/>
  <c r="H776" i="2" s="1"/>
  <c r="I776" i="2" s="1"/>
  <c r="B776" i="2"/>
  <c r="E775" i="2"/>
  <c r="D775" i="2"/>
  <c r="C775" i="2"/>
  <c r="G775" i="2" s="1"/>
  <c r="H775" i="2" s="1"/>
  <c r="I775" i="2" s="1"/>
  <c r="B775" i="2"/>
  <c r="D774" i="2"/>
  <c r="C774" i="2"/>
  <c r="G774" i="2" s="1"/>
  <c r="H774" i="2" s="1"/>
  <c r="I774" i="2" s="1"/>
  <c r="B774" i="2"/>
  <c r="D773" i="2"/>
  <c r="C773" i="2"/>
  <c r="G773" i="2" s="1"/>
  <c r="H773" i="2" s="1"/>
  <c r="I773" i="2" s="1"/>
  <c r="B773" i="2"/>
  <c r="D772" i="2"/>
  <c r="C772" i="2"/>
  <c r="G772" i="2" s="1"/>
  <c r="H772" i="2" s="1"/>
  <c r="I772" i="2" s="1"/>
  <c r="B772" i="2"/>
  <c r="D771" i="2"/>
  <c r="C771" i="2"/>
  <c r="G771" i="2" s="1"/>
  <c r="H771" i="2" s="1"/>
  <c r="I771" i="2" s="1"/>
  <c r="B771" i="2"/>
  <c r="D770" i="2"/>
  <c r="C770" i="2"/>
  <c r="G770" i="2" s="1"/>
  <c r="H770" i="2" s="1"/>
  <c r="I770" i="2" s="1"/>
  <c r="B770" i="2"/>
  <c r="D769" i="2"/>
  <c r="C769" i="2"/>
  <c r="G769" i="2" s="1"/>
  <c r="H769" i="2" s="1"/>
  <c r="I769" i="2" s="1"/>
  <c r="B769" i="2"/>
  <c r="D768" i="2"/>
  <c r="C768" i="2"/>
  <c r="G768" i="2" s="1"/>
  <c r="H768" i="2" s="1"/>
  <c r="I768" i="2" s="1"/>
  <c r="B768" i="2"/>
  <c r="D767" i="2"/>
  <c r="C767" i="2"/>
  <c r="G767" i="2" s="1"/>
  <c r="H767" i="2" s="1"/>
  <c r="I767" i="2" s="1"/>
  <c r="B767" i="2"/>
  <c r="D766" i="2"/>
  <c r="C766" i="2"/>
  <c r="G766" i="2" s="1"/>
  <c r="H766" i="2" s="1"/>
  <c r="I766" i="2" s="1"/>
  <c r="B766" i="2"/>
  <c r="D765" i="2"/>
  <c r="C765" i="2"/>
  <c r="G765" i="2" s="1"/>
  <c r="H765" i="2" s="1"/>
  <c r="I765" i="2" s="1"/>
  <c r="B765" i="2"/>
  <c r="D764" i="2"/>
  <c r="C764" i="2"/>
  <c r="G764" i="2" s="1"/>
  <c r="H764" i="2" s="1"/>
  <c r="I764" i="2" s="1"/>
  <c r="B764" i="2"/>
  <c r="D763" i="2"/>
  <c r="C763" i="2"/>
  <c r="G763" i="2" s="1"/>
  <c r="H763" i="2" s="1"/>
  <c r="I763" i="2" s="1"/>
  <c r="B763" i="2"/>
  <c r="D762" i="2"/>
  <c r="C762" i="2"/>
  <c r="G762" i="2" s="1"/>
  <c r="H762" i="2" s="1"/>
  <c r="I762" i="2" s="1"/>
  <c r="B762" i="2"/>
  <c r="D761" i="2"/>
  <c r="C761" i="2"/>
  <c r="G761" i="2" s="1"/>
  <c r="H761" i="2" s="1"/>
  <c r="I761" i="2" s="1"/>
  <c r="B761" i="2"/>
  <c r="D760" i="2"/>
  <c r="C760" i="2"/>
  <c r="G760" i="2" s="1"/>
  <c r="H760" i="2" s="1"/>
  <c r="I760" i="2" s="1"/>
  <c r="B760" i="2"/>
  <c r="D759" i="2"/>
  <c r="C759" i="2"/>
  <c r="G759" i="2" s="1"/>
  <c r="H759" i="2" s="1"/>
  <c r="I759" i="2" s="1"/>
  <c r="B759" i="2"/>
  <c r="D758" i="2"/>
  <c r="C758" i="2"/>
  <c r="G758" i="2" s="1"/>
  <c r="H758" i="2" s="1"/>
  <c r="I758" i="2" s="1"/>
  <c r="B758" i="2"/>
  <c r="D757" i="2"/>
  <c r="C757" i="2"/>
  <c r="G757" i="2" s="1"/>
  <c r="H757" i="2" s="1"/>
  <c r="I757" i="2" s="1"/>
  <c r="B757" i="2"/>
  <c r="D756" i="2"/>
  <c r="C756" i="2"/>
  <c r="G756" i="2" s="1"/>
  <c r="H756" i="2" s="1"/>
  <c r="I756" i="2" s="1"/>
  <c r="B756" i="2"/>
  <c r="D755" i="2"/>
  <c r="C755" i="2"/>
  <c r="G755" i="2" s="1"/>
  <c r="H755" i="2" s="1"/>
  <c r="I755" i="2" s="1"/>
  <c r="B755" i="2"/>
  <c r="D754" i="2"/>
  <c r="C754" i="2"/>
  <c r="G754" i="2" s="1"/>
  <c r="H754" i="2" s="1"/>
  <c r="I754" i="2" s="1"/>
  <c r="B754" i="2"/>
  <c r="D753" i="2"/>
  <c r="C753" i="2"/>
  <c r="G753" i="2" s="1"/>
  <c r="H753" i="2" s="1"/>
  <c r="I753" i="2" s="1"/>
  <c r="B753" i="2"/>
  <c r="D752" i="2"/>
  <c r="C752" i="2"/>
  <c r="G752" i="2" s="1"/>
  <c r="H752" i="2" s="1"/>
  <c r="I752" i="2" s="1"/>
  <c r="B752" i="2"/>
  <c r="D751" i="2"/>
  <c r="C751" i="2"/>
  <c r="G751" i="2" s="1"/>
  <c r="H751" i="2" s="1"/>
  <c r="I751" i="2" s="1"/>
  <c r="B751" i="2"/>
  <c r="D750" i="2"/>
  <c r="C750" i="2"/>
  <c r="G750" i="2" s="1"/>
  <c r="H750" i="2" s="1"/>
  <c r="I750" i="2" s="1"/>
  <c r="B750" i="2"/>
  <c r="D749" i="2"/>
  <c r="C749" i="2"/>
  <c r="G749" i="2" s="1"/>
  <c r="H749" i="2" s="1"/>
  <c r="I749" i="2" s="1"/>
  <c r="B749" i="2"/>
  <c r="D748" i="2"/>
  <c r="C748" i="2"/>
  <c r="G748" i="2" s="1"/>
  <c r="H748" i="2" s="1"/>
  <c r="I748" i="2" s="1"/>
  <c r="B748" i="2"/>
  <c r="D747" i="2"/>
  <c r="C747" i="2"/>
  <c r="G747" i="2" s="1"/>
  <c r="H747" i="2" s="1"/>
  <c r="I747" i="2" s="1"/>
  <c r="B747" i="2"/>
  <c r="D746" i="2"/>
  <c r="C746" i="2"/>
  <c r="G746" i="2" s="1"/>
  <c r="H746" i="2" s="1"/>
  <c r="I746" i="2" s="1"/>
  <c r="B746" i="2"/>
  <c r="D745" i="2"/>
  <c r="C745" i="2"/>
  <c r="G745" i="2" s="1"/>
  <c r="H745" i="2" s="1"/>
  <c r="I745" i="2" s="1"/>
  <c r="B745" i="2"/>
  <c r="D744" i="2"/>
  <c r="C744" i="2"/>
  <c r="G744" i="2" s="1"/>
  <c r="H744" i="2" s="1"/>
  <c r="I744" i="2" s="1"/>
  <c r="B744" i="2"/>
  <c r="D743" i="2"/>
  <c r="C743" i="2"/>
  <c r="G743" i="2" s="1"/>
  <c r="H743" i="2" s="1"/>
  <c r="I743" i="2" s="1"/>
  <c r="B743" i="2"/>
  <c r="D742" i="2"/>
  <c r="C742" i="2"/>
  <c r="G742" i="2" s="1"/>
  <c r="H742" i="2" s="1"/>
  <c r="I742" i="2" s="1"/>
  <c r="B742" i="2"/>
  <c r="D741" i="2"/>
  <c r="C741" i="2"/>
  <c r="G741" i="2" s="1"/>
  <c r="H741" i="2" s="1"/>
  <c r="I741" i="2" s="1"/>
  <c r="B741" i="2"/>
  <c r="D740" i="2"/>
  <c r="C740" i="2"/>
  <c r="G740" i="2" s="1"/>
  <c r="H740" i="2" s="1"/>
  <c r="I740" i="2" s="1"/>
  <c r="B740" i="2"/>
  <c r="D739" i="2"/>
  <c r="C739" i="2"/>
  <c r="G739" i="2" s="1"/>
  <c r="H739" i="2" s="1"/>
  <c r="I739" i="2" s="1"/>
  <c r="B739" i="2"/>
  <c r="D738" i="2"/>
  <c r="C738" i="2"/>
  <c r="G738" i="2" s="1"/>
  <c r="H738" i="2" s="1"/>
  <c r="I738" i="2" s="1"/>
  <c r="B738" i="2"/>
  <c r="D737" i="2"/>
  <c r="C737" i="2"/>
  <c r="G737" i="2" s="1"/>
  <c r="H737" i="2" s="1"/>
  <c r="I737" i="2" s="1"/>
  <c r="B737" i="2"/>
  <c r="D736" i="2"/>
  <c r="C736" i="2"/>
  <c r="G736" i="2" s="1"/>
  <c r="H736" i="2" s="1"/>
  <c r="I736" i="2" s="1"/>
  <c r="B736" i="2"/>
  <c r="D735" i="2"/>
  <c r="C735" i="2"/>
  <c r="G735" i="2" s="1"/>
  <c r="H735" i="2" s="1"/>
  <c r="I735" i="2" s="1"/>
  <c r="B735" i="2"/>
  <c r="D734" i="2"/>
  <c r="C734" i="2"/>
  <c r="G734" i="2" s="1"/>
  <c r="H734" i="2" s="1"/>
  <c r="I734" i="2" s="1"/>
  <c r="B734" i="2"/>
  <c r="D733" i="2"/>
  <c r="C733" i="2"/>
  <c r="G733" i="2" s="1"/>
  <c r="H733" i="2" s="1"/>
  <c r="I733" i="2" s="1"/>
  <c r="B733" i="2"/>
  <c r="D732" i="2"/>
  <c r="C732" i="2"/>
  <c r="G732" i="2" s="1"/>
  <c r="H732" i="2" s="1"/>
  <c r="I732" i="2" s="1"/>
  <c r="B732" i="2"/>
  <c r="D731" i="2"/>
  <c r="C731" i="2"/>
  <c r="G731" i="2" s="1"/>
  <c r="H731" i="2" s="1"/>
  <c r="I731" i="2" s="1"/>
  <c r="B731" i="2"/>
  <c r="D730" i="2"/>
  <c r="C730" i="2"/>
  <c r="G730" i="2" s="1"/>
  <c r="H730" i="2" s="1"/>
  <c r="I730" i="2" s="1"/>
  <c r="B730" i="2"/>
  <c r="D729" i="2"/>
  <c r="C729" i="2"/>
  <c r="G729" i="2" s="1"/>
  <c r="H729" i="2" s="1"/>
  <c r="I729" i="2" s="1"/>
  <c r="B729" i="2"/>
  <c r="D728" i="2"/>
  <c r="C728" i="2"/>
  <c r="G728" i="2" s="1"/>
  <c r="H728" i="2" s="1"/>
  <c r="I728" i="2" s="1"/>
  <c r="B728" i="2"/>
  <c r="D727" i="2"/>
  <c r="C727" i="2"/>
  <c r="G727" i="2" s="1"/>
  <c r="H727" i="2" s="1"/>
  <c r="I727" i="2" s="1"/>
  <c r="B727" i="2"/>
  <c r="D726" i="2"/>
  <c r="C726" i="2"/>
  <c r="G726" i="2" s="1"/>
  <c r="H726" i="2" s="1"/>
  <c r="I726" i="2" s="1"/>
  <c r="B726" i="2"/>
  <c r="D725" i="2"/>
  <c r="C725" i="2"/>
  <c r="G725" i="2" s="1"/>
  <c r="H725" i="2" s="1"/>
  <c r="I725" i="2" s="1"/>
  <c r="B725" i="2"/>
  <c r="D724" i="2"/>
  <c r="C724" i="2"/>
  <c r="G724" i="2" s="1"/>
  <c r="H724" i="2" s="1"/>
  <c r="I724" i="2" s="1"/>
  <c r="B724" i="2"/>
  <c r="D723" i="2"/>
  <c r="C723" i="2"/>
  <c r="G723" i="2" s="1"/>
  <c r="H723" i="2" s="1"/>
  <c r="I723" i="2" s="1"/>
  <c r="B723" i="2"/>
  <c r="D722" i="2"/>
  <c r="C722" i="2"/>
  <c r="G722" i="2" s="1"/>
  <c r="H722" i="2" s="1"/>
  <c r="I722" i="2" s="1"/>
  <c r="B722" i="2"/>
  <c r="D721" i="2"/>
  <c r="C721" i="2"/>
  <c r="G721" i="2" s="1"/>
  <c r="H721" i="2" s="1"/>
  <c r="I721" i="2" s="1"/>
  <c r="B721" i="2"/>
  <c r="D720" i="2"/>
  <c r="C720" i="2"/>
  <c r="G720" i="2" s="1"/>
  <c r="H720" i="2" s="1"/>
  <c r="I720" i="2" s="1"/>
  <c r="B720" i="2"/>
  <c r="D719" i="2"/>
  <c r="C719" i="2"/>
  <c r="G719" i="2" s="1"/>
  <c r="H719" i="2" s="1"/>
  <c r="I719" i="2" s="1"/>
  <c r="B719" i="2"/>
  <c r="D718" i="2"/>
  <c r="C718" i="2"/>
  <c r="G718" i="2" s="1"/>
  <c r="H718" i="2" s="1"/>
  <c r="I718" i="2" s="1"/>
  <c r="B718" i="2"/>
  <c r="D717" i="2"/>
  <c r="C717" i="2"/>
  <c r="G717" i="2" s="1"/>
  <c r="H717" i="2" s="1"/>
  <c r="I717" i="2" s="1"/>
  <c r="B717" i="2"/>
  <c r="D716" i="2"/>
  <c r="C716" i="2"/>
  <c r="G716" i="2" s="1"/>
  <c r="H716" i="2" s="1"/>
  <c r="I716" i="2" s="1"/>
  <c r="B716" i="2"/>
  <c r="D715" i="2"/>
  <c r="C715" i="2"/>
  <c r="G715" i="2" s="1"/>
  <c r="H715" i="2" s="1"/>
  <c r="I715" i="2" s="1"/>
  <c r="B715" i="2"/>
  <c r="D714" i="2"/>
  <c r="C714" i="2"/>
  <c r="G714" i="2" s="1"/>
  <c r="H714" i="2" s="1"/>
  <c r="I714" i="2" s="1"/>
  <c r="B714" i="2"/>
  <c r="D713" i="2"/>
  <c r="C713" i="2"/>
  <c r="G713" i="2" s="1"/>
  <c r="H713" i="2" s="1"/>
  <c r="I713" i="2" s="1"/>
  <c r="B713" i="2"/>
  <c r="D712" i="2"/>
  <c r="C712" i="2"/>
  <c r="G712" i="2" s="1"/>
  <c r="H712" i="2" s="1"/>
  <c r="I712" i="2" s="1"/>
  <c r="B712" i="2"/>
  <c r="D711" i="2"/>
  <c r="C711" i="2"/>
  <c r="G711" i="2" s="1"/>
  <c r="H711" i="2" s="1"/>
  <c r="I711" i="2" s="1"/>
  <c r="B711" i="2"/>
  <c r="D710" i="2"/>
  <c r="C710" i="2"/>
  <c r="G710" i="2" s="1"/>
  <c r="H710" i="2" s="1"/>
  <c r="I710" i="2" s="1"/>
  <c r="B710" i="2"/>
  <c r="D709" i="2"/>
  <c r="C709" i="2"/>
  <c r="G709" i="2" s="1"/>
  <c r="H709" i="2" s="1"/>
  <c r="I709" i="2" s="1"/>
  <c r="B709" i="2"/>
  <c r="D708" i="2"/>
  <c r="C708" i="2"/>
  <c r="G708" i="2" s="1"/>
  <c r="H708" i="2" s="1"/>
  <c r="I708" i="2" s="1"/>
  <c r="B708" i="2"/>
  <c r="D707" i="2"/>
  <c r="C707" i="2"/>
  <c r="G707" i="2" s="1"/>
  <c r="H707" i="2" s="1"/>
  <c r="I707" i="2" s="1"/>
  <c r="B707" i="2"/>
  <c r="D706" i="2"/>
  <c r="C706" i="2"/>
  <c r="G706" i="2" s="1"/>
  <c r="H706" i="2" s="1"/>
  <c r="I706" i="2" s="1"/>
  <c r="B706" i="2"/>
  <c r="D705" i="2"/>
  <c r="C705" i="2"/>
  <c r="G705" i="2" s="1"/>
  <c r="H705" i="2" s="1"/>
  <c r="I705" i="2" s="1"/>
  <c r="B705" i="2"/>
  <c r="D704" i="2"/>
  <c r="C704" i="2"/>
  <c r="G704" i="2" s="1"/>
  <c r="H704" i="2" s="1"/>
  <c r="I704" i="2" s="1"/>
  <c r="B704" i="2"/>
  <c r="D703" i="2"/>
  <c r="C703" i="2"/>
  <c r="G703" i="2" s="1"/>
  <c r="H703" i="2" s="1"/>
  <c r="I703" i="2" s="1"/>
  <c r="B703" i="2"/>
  <c r="D702" i="2"/>
  <c r="C702" i="2"/>
  <c r="G702" i="2" s="1"/>
  <c r="H702" i="2" s="1"/>
  <c r="I702" i="2" s="1"/>
  <c r="B702" i="2"/>
  <c r="D701" i="2"/>
  <c r="C701" i="2"/>
  <c r="G701" i="2" s="1"/>
  <c r="H701" i="2" s="1"/>
  <c r="I701" i="2" s="1"/>
  <c r="B701" i="2"/>
  <c r="D700" i="2"/>
  <c r="C700" i="2"/>
  <c r="G700" i="2" s="1"/>
  <c r="H700" i="2" s="1"/>
  <c r="I700" i="2" s="1"/>
  <c r="B700" i="2"/>
  <c r="D699" i="2"/>
  <c r="C699" i="2"/>
  <c r="G699" i="2" s="1"/>
  <c r="H699" i="2" s="1"/>
  <c r="I699" i="2" s="1"/>
  <c r="B699" i="2"/>
  <c r="D698" i="2"/>
  <c r="C698" i="2"/>
  <c r="G698" i="2" s="1"/>
  <c r="H698" i="2" s="1"/>
  <c r="I698" i="2" s="1"/>
  <c r="B698" i="2"/>
  <c r="D697" i="2"/>
  <c r="C697" i="2"/>
  <c r="G697" i="2" s="1"/>
  <c r="H697" i="2" s="1"/>
  <c r="I697" i="2" s="1"/>
  <c r="B697" i="2"/>
  <c r="D696" i="2"/>
  <c r="C696" i="2"/>
  <c r="G696" i="2" s="1"/>
  <c r="H696" i="2" s="1"/>
  <c r="I696" i="2" s="1"/>
  <c r="B696" i="2"/>
  <c r="D695" i="2"/>
  <c r="C695" i="2"/>
  <c r="G695" i="2" s="1"/>
  <c r="H695" i="2" s="1"/>
  <c r="I695" i="2" s="1"/>
  <c r="B695" i="2"/>
  <c r="D694" i="2"/>
  <c r="C694" i="2"/>
  <c r="G694" i="2" s="1"/>
  <c r="H694" i="2" s="1"/>
  <c r="I694" i="2" s="1"/>
  <c r="B694" i="2"/>
  <c r="D693" i="2"/>
  <c r="C693" i="2"/>
  <c r="G693" i="2" s="1"/>
  <c r="H693" i="2" s="1"/>
  <c r="I693" i="2" s="1"/>
  <c r="B693" i="2"/>
  <c r="D692" i="2"/>
  <c r="C692" i="2"/>
  <c r="G692" i="2" s="1"/>
  <c r="H692" i="2" s="1"/>
  <c r="I692" i="2" s="1"/>
  <c r="B692" i="2"/>
  <c r="D691" i="2"/>
  <c r="C691" i="2"/>
  <c r="G691" i="2" s="1"/>
  <c r="H691" i="2" s="1"/>
  <c r="I691" i="2" s="1"/>
  <c r="B691" i="2"/>
  <c r="D690" i="2"/>
  <c r="C690" i="2"/>
  <c r="G690" i="2" s="1"/>
  <c r="H690" i="2" s="1"/>
  <c r="I690" i="2" s="1"/>
  <c r="B690" i="2"/>
  <c r="D689" i="2"/>
  <c r="C689" i="2"/>
  <c r="G689" i="2" s="1"/>
  <c r="H689" i="2" s="1"/>
  <c r="I689" i="2" s="1"/>
  <c r="B689" i="2"/>
  <c r="D688" i="2"/>
  <c r="C688" i="2"/>
  <c r="G688" i="2" s="1"/>
  <c r="H688" i="2" s="1"/>
  <c r="I688" i="2" s="1"/>
  <c r="B688" i="2"/>
  <c r="D687" i="2"/>
  <c r="C687" i="2"/>
  <c r="G687" i="2" s="1"/>
  <c r="H687" i="2" s="1"/>
  <c r="I687" i="2" s="1"/>
  <c r="B687" i="2"/>
  <c r="D686" i="2"/>
  <c r="C686" i="2"/>
  <c r="G686" i="2" s="1"/>
  <c r="H686" i="2" s="1"/>
  <c r="I686" i="2" s="1"/>
  <c r="B686" i="2"/>
  <c r="D685" i="2"/>
  <c r="C685" i="2"/>
  <c r="G685" i="2" s="1"/>
  <c r="H685" i="2" s="1"/>
  <c r="I685" i="2" s="1"/>
  <c r="B685" i="2"/>
  <c r="D684" i="2"/>
  <c r="C684" i="2"/>
  <c r="G684" i="2" s="1"/>
  <c r="H684" i="2" s="1"/>
  <c r="I684" i="2" s="1"/>
  <c r="B684" i="2"/>
  <c r="D683" i="2"/>
  <c r="C683" i="2"/>
  <c r="G683" i="2" s="1"/>
  <c r="H683" i="2" s="1"/>
  <c r="I683" i="2" s="1"/>
  <c r="B683" i="2"/>
  <c r="D682" i="2"/>
  <c r="C682" i="2"/>
  <c r="G682" i="2" s="1"/>
  <c r="H682" i="2" s="1"/>
  <c r="I682" i="2" s="1"/>
  <c r="B682" i="2"/>
  <c r="D681" i="2"/>
  <c r="C681" i="2"/>
  <c r="G681" i="2" s="1"/>
  <c r="H681" i="2" s="1"/>
  <c r="I681" i="2" s="1"/>
  <c r="B681" i="2"/>
  <c r="D680" i="2"/>
  <c r="C680" i="2"/>
  <c r="G680" i="2" s="1"/>
  <c r="H680" i="2" s="1"/>
  <c r="I680" i="2" s="1"/>
  <c r="B680" i="2"/>
  <c r="D679" i="2"/>
  <c r="C679" i="2"/>
  <c r="G679" i="2" s="1"/>
  <c r="H679" i="2" s="1"/>
  <c r="I679" i="2" s="1"/>
  <c r="B679" i="2"/>
  <c r="D678" i="2"/>
  <c r="C678" i="2"/>
  <c r="G678" i="2" s="1"/>
  <c r="H678" i="2" s="1"/>
  <c r="I678" i="2" s="1"/>
  <c r="B678" i="2"/>
  <c r="D677" i="2"/>
  <c r="C677" i="2"/>
  <c r="G677" i="2" s="1"/>
  <c r="H677" i="2" s="1"/>
  <c r="I677" i="2" s="1"/>
  <c r="B677" i="2"/>
  <c r="D676" i="2"/>
  <c r="C676" i="2"/>
  <c r="G676" i="2" s="1"/>
  <c r="H676" i="2" s="1"/>
  <c r="I676" i="2" s="1"/>
  <c r="B676" i="2"/>
  <c r="D675" i="2"/>
  <c r="C675" i="2"/>
  <c r="G675" i="2" s="1"/>
  <c r="H675" i="2" s="1"/>
  <c r="I675" i="2" s="1"/>
  <c r="B675" i="2"/>
  <c r="D674" i="2"/>
  <c r="C674" i="2"/>
  <c r="G674" i="2" s="1"/>
  <c r="H674" i="2" s="1"/>
  <c r="I674" i="2" s="1"/>
  <c r="B674" i="2"/>
  <c r="D673" i="2"/>
  <c r="C673" i="2"/>
  <c r="G673" i="2" s="1"/>
  <c r="H673" i="2" s="1"/>
  <c r="I673" i="2" s="1"/>
  <c r="B673" i="2"/>
  <c r="D672" i="2"/>
  <c r="C672" i="2"/>
  <c r="G672" i="2" s="1"/>
  <c r="H672" i="2" s="1"/>
  <c r="I672" i="2" s="1"/>
  <c r="B672" i="2"/>
  <c r="D671" i="2"/>
  <c r="C671" i="2"/>
  <c r="G671" i="2" s="1"/>
  <c r="H671" i="2" s="1"/>
  <c r="I671" i="2" s="1"/>
  <c r="B671" i="2"/>
  <c r="D670" i="2"/>
  <c r="C670" i="2"/>
  <c r="G670" i="2" s="1"/>
  <c r="H670" i="2" s="1"/>
  <c r="I670" i="2" s="1"/>
  <c r="B670" i="2"/>
  <c r="D669" i="2"/>
  <c r="C669" i="2"/>
  <c r="G669" i="2" s="1"/>
  <c r="H669" i="2" s="1"/>
  <c r="I669" i="2" s="1"/>
  <c r="B669" i="2"/>
  <c r="D668" i="2"/>
  <c r="C668" i="2"/>
  <c r="G668" i="2" s="1"/>
  <c r="H668" i="2" s="1"/>
  <c r="I668" i="2" s="1"/>
  <c r="B668" i="2"/>
  <c r="D667" i="2"/>
  <c r="C667" i="2"/>
  <c r="G667" i="2" s="1"/>
  <c r="H667" i="2" s="1"/>
  <c r="I667" i="2" s="1"/>
  <c r="B667" i="2"/>
  <c r="D666" i="2"/>
  <c r="C666" i="2"/>
  <c r="G666" i="2" s="1"/>
  <c r="H666" i="2" s="1"/>
  <c r="I666" i="2" s="1"/>
  <c r="B666" i="2"/>
  <c r="D665" i="2"/>
  <c r="C665" i="2"/>
  <c r="G665" i="2" s="1"/>
  <c r="H665" i="2" s="1"/>
  <c r="I665" i="2" s="1"/>
  <c r="B665" i="2"/>
  <c r="D664" i="2"/>
  <c r="C664" i="2"/>
  <c r="G664" i="2" s="1"/>
  <c r="H664" i="2" s="1"/>
  <c r="I664" i="2" s="1"/>
  <c r="B664" i="2"/>
  <c r="D663" i="2"/>
  <c r="C663" i="2"/>
  <c r="G663" i="2" s="1"/>
  <c r="H663" i="2" s="1"/>
  <c r="I663" i="2" s="1"/>
  <c r="B663" i="2"/>
  <c r="D662" i="2"/>
  <c r="C662" i="2"/>
  <c r="G662" i="2" s="1"/>
  <c r="H662" i="2" s="1"/>
  <c r="I662" i="2" s="1"/>
  <c r="B662" i="2"/>
  <c r="D661" i="2"/>
  <c r="C661" i="2"/>
  <c r="G661" i="2" s="1"/>
  <c r="H661" i="2" s="1"/>
  <c r="I661" i="2" s="1"/>
  <c r="B661" i="2"/>
  <c r="D660" i="2"/>
  <c r="C660" i="2"/>
  <c r="G660" i="2" s="1"/>
  <c r="H660" i="2" s="1"/>
  <c r="I660" i="2" s="1"/>
  <c r="B660" i="2"/>
  <c r="D659" i="2"/>
  <c r="C659" i="2"/>
  <c r="G659" i="2" s="1"/>
  <c r="H659" i="2" s="1"/>
  <c r="I659" i="2" s="1"/>
  <c r="B659" i="2"/>
  <c r="D658" i="2"/>
  <c r="C658" i="2"/>
  <c r="G658" i="2" s="1"/>
  <c r="H658" i="2" s="1"/>
  <c r="I658" i="2" s="1"/>
  <c r="B658" i="2"/>
  <c r="D657" i="2"/>
  <c r="C657" i="2"/>
  <c r="G657" i="2" s="1"/>
  <c r="H657" i="2" s="1"/>
  <c r="I657" i="2" s="1"/>
  <c r="B657" i="2"/>
  <c r="D656" i="2"/>
  <c r="C656" i="2"/>
  <c r="G656" i="2" s="1"/>
  <c r="H656" i="2" s="1"/>
  <c r="I656" i="2" s="1"/>
  <c r="B656" i="2"/>
  <c r="D655" i="2"/>
  <c r="C655" i="2"/>
  <c r="G655" i="2" s="1"/>
  <c r="H655" i="2" s="1"/>
  <c r="I655" i="2" s="1"/>
  <c r="B655" i="2"/>
  <c r="D654" i="2"/>
  <c r="C654" i="2"/>
  <c r="G654" i="2" s="1"/>
  <c r="H654" i="2" s="1"/>
  <c r="I654" i="2" s="1"/>
  <c r="B654" i="2"/>
  <c r="D653" i="2"/>
  <c r="C653" i="2"/>
  <c r="G653" i="2" s="1"/>
  <c r="H653" i="2" s="1"/>
  <c r="I653" i="2" s="1"/>
  <c r="B653" i="2"/>
  <c r="D652" i="2"/>
  <c r="C652" i="2"/>
  <c r="G652" i="2" s="1"/>
  <c r="H652" i="2" s="1"/>
  <c r="I652" i="2" s="1"/>
  <c r="B652" i="2"/>
  <c r="D651" i="2"/>
  <c r="C651" i="2"/>
  <c r="G651" i="2" s="1"/>
  <c r="H651" i="2" s="1"/>
  <c r="I651" i="2" s="1"/>
  <c r="B651" i="2"/>
  <c r="D650" i="2"/>
  <c r="C650" i="2"/>
  <c r="G650" i="2" s="1"/>
  <c r="H650" i="2" s="1"/>
  <c r="I650" i="2" s="1"/>
  <c r="B650" i="2"/>
  <c r="D649" i="2"/>
  <c r="C649" i="2"/>
  <c r="G649" i="2" s="1"/>
  <c r="H649" i="2" s="1"/>
  <c r="I649" i="2" s="1"/>
  <c r="B649" i="2"/>
  <c r="D648" i="2"/>
  <c r="C648" i="2"/>
  <c r="G648" i="2" s="1"/>
  <c r="H648" i="2" s="1"/>
  <c r="I648" i="2" s="1"/>
  <c r="B648" i="2"/>
  <c r="D647" i="2"/>
  <c r="C647" i="2"/>
  <c r="G647" i="2" s="1"/>
  <c r="H647" i="2" s="1"/>
  <c r="I647" i="2" s="1"/>
  <c r="B647" i="2"/>
  <c r="D646" i="2"/>
  <c r="C646" i="2"/>
  <c r="G646" i="2" s="1"/>
  <c r="H646" i="2" s="1"/>
  <c r="I646" i="2" s="1"/>
  <c r="B646" i="2"/>
  <c r="D645" i="2"/>
  <c r="C645" i="2"/>
  <c r="G645" i="2" s="1"/>
  <c r="H645" i="2" s="1"/>
  <c r="I645" i="2" s="1"/>
  <c r="B645" i="2"/>
  <c r="D644" i="2"/>
  <c r="C644" i="2"/>
  <c r="G644" i="2" s="1"/>
  <c r="H644" i="2" s="1"/>
  <c r="I644" i="2" s="1"/>
  <c r="B644" i="2"/>
  <c r="D643" i="2"/>
  <c r="C643" i="2"/>
  <c r="G643" i="2" s="1"/>
  <c r="H643" i="2" s="1"/>
  <c r="I643" i="2" s="1"/>
  <c r="B643" i="2"/>
  <c r="D642" i="2"/>
  <c r="C642" i="2"/>
  <c r="G642" i="2" s="1"/>
  <c r="H642" i="2" s="1"/>
  <c r="I642" i="2" s="1"/>
  <c r="B642" i="2"/>
  <c r="D641" i="2"/>
  <c r="C641" i="2"/>
  <c r="G641" i="2" s="1"/>
  <c r="H641" i="2" s="1"/>
  <c r="I641" i="2" s="1"/>
  <c r="B641" i="2"/>
  <c r="D640" i="2"/>
  <c r="C640" i="2"/>
  <c r="G640" i="2" s="1"/>
  <c r="H640" i="2" s="1"/>
  <c r="I640" i="2" s="1"/>
  <c r="B640" i="2"/>
  <c r="D639" i="2"/>
  <c r="C639" i="2"/>
  <c r="G639" i="2" s="1"/>
  <c r="H639" i="2" s="1"/>
  <c r="I639" i="2" s="1"/>
  <c r="B639" i="2"/>
  <c r="D638" i="2"/>
  <c r="C638" i="2"/>
  <c r="G638" i="2" s="1"/>
  <c r="H638" i="2" s="1"/>
  <c r="I638" i="2" s="1"/>
  <c r="B638" i="2"/>
  <c r="D637" i="2"/>
  <c r="C637" i="2"/>
  <c r="G637" i="2" s="1"/>
  <c r="H637" i="2" s="1"/>
  <c r="I637" i="2" s="1"/>
  <c r="B637" i="2"/>
  <c r="D636" i="2"/>
  <c r="C636" i="2"/>
  <c r="G636" i="2" s="1"/>
  <c r="H636" i="2" s="1"/>
  <c r="I636" i="2" s="1"/>
  <c r="B636" i="2"/>
  <c r="D635" i="2"/>
  <c r="C635" i="2"/>
  <c r="G635" i="2" s="1"/>
  <c r="H635" i="2" s="1"/>
  <c r="I635" i="2" s="1"/>
  <c r="B635" i="2"/>
  <c r="D634" i="2"/>
  <c r="C634" i="2"/>
  <c r="G634" i="2" s="1"/>
  <c r="H634" i="2" s="1"/>
  <c r="I634" i="2" s="1"/>
  <c r="B634" i="2"/>
  <c r="D633" i="2"/>
  <c r="C633" i="2"/>
  <c r="G633" i="2" s="1"/>
  <c r="H633" i="2" s="1"/>
  <c r="I633" i="2" s="1"/>
  <c r="B633" i="2"/>
  <c r="D632" i="2"/>
  <c r="C632" i="2"/>
  <c r="G632" i="2" s="1"/>
  <c r="H632" i="2" s="1"/>
  <c r="I632" i="2" s="1"/>
  <c r="B632" i="2"/>
  <c r="D631" i="2"/>
  <c r="C631" i="2"/>
  <c r="G631" i="2" s="1"/>
  <c r="H631" i="2" s="1"/>
  <c r="I631" i="2" s="1"/>
  <c r="B631" i="2"/>
  <c r="D630" i="2"/>
  <c r="C630" i="2"/>
  <c r="G630" i="2" s="1"/>
  <c r="H630" i="2" s="1"/>
  <c r="I630" i="2" s="1"/>
  <c r="B630" i="2"/>
  <c r="D629" i="2"/>
  <c r="C629" i="2"/>
  <c r="G629" i="2" s="1"/>
  <c r="H629" i="2" s="1"/>
  <c r="I629" i="2" s="1"/>
  <c r="B629" i="2"/>
  <c r="D628" i="2"/>
  <c r="C628" i="2"/>
  <c r="G628" i="2" s="1"/>
  <c r="H628" i="2" s="1"/>
  <c r="I628" i="2" s="1"/>
  <c r="B628" i="2"/>
  <c r="D627" i="2"/>
  <c r="C627" i="2"/>
  <c r="G627" i="2" s="1"/>
  <c r="H627" i="2" s="1"/>
  <c r="I627" i="2" s="1"/>
  <c r="B627" i="2"/>
  <c r="D626" i="2"/>
  <c r="C626" i="2"/>
  <c r="G626" i="2" s="1"/>
  <c r="H626" i="2" s="1"/>
  <c r="I626" i="2" s="1"/>
  <c r="B626" i="2"/>
  <c r="D625" i="2"/>
  <c r="C625" i="2"/>
  <c r="G625" i="2" s="1"/>
  <c r="H625" i="2" s="1"/>
  <c r="I625" i="2" s="1"/>
  <c r="B625" i="2"/>
  <c r="D624" i="2"/>
  <c r="C624" i="2"/>
  <c r="G624" i="2" s="1"/>
  <c r="H624" i="2" s="1"/>
  <c r="I624" i="2" s="1"/>
  <c r="B624" i="2"/>
  <c r="D623" i="2"/>
  <c r="C623" i="2"/>
  <c r="G623" i="2" s="1"/>
  <c r="H623" i="2" s="1"/>
  <c r="I623" i="2" s="1"/>
  <c r="B623" i="2"/>
  <c r="D622" i="2"/>
  <c r="C622" i="2"/>
  <c r="G622" i="2" s="1"/>
  <c r="H622" i="2" s="1"/>
  <c r="I622" i="2" s="1"/>
  <c r="B622" i="2"/>
  <c r="D621" i="2"/>
  <c r="C621" i="2"/>
  <c r="G621" i="2" s="1"/>
  <c r="H621" i="2" s="1"/>
  <c r="I621" i="2" s="1"/>
  <c r="B621" i="2"/>
  <c r="D620" i="2"/>
  <c r="C620" i="2"/>
  <c r="G620" i="2" s="1"/>
  <c r="H620" i="2" s="1"/>
  <c r="I620" i="2" s="1"/>
  <c r="B620" i="2"/>
  <c r="D619" i="2"/>
  <c r="C619" i="2"/>
  <c r="G619" i="2" s="1"/>
  <c r="H619" i="2" s="1"/>
  <c r="I619" i="2" s="1"/>
  <c r="B619" i="2"/>
  <c r="D618" i="2"/>
  <c r="C618" i="2"/>
  <c r="G618" i="2" s="1"/>
  <c r="H618" i="2" s="1"/>
  <c r="I618" i="2" s="1"/>
  <c r="B618" i="2"/>
  <c r="D617" i="2"/>
  <c r="C617" i="2"/>
  <c r="G617" i="2" s="1"/>
  <c r="H617" i="2" s="1"/>
  <c r="I617" i="2" s="1"/>
  <c r="B617" i="2"/>
  <c r="D616" i="2"/>
  <c r="C616" i="2"/>
  <c r="G616" i="2" s="1"/>
  <c r="H616" i="2" s="1"/>
  <c r="I616" i="2" s="1"/>
  <c r="B616" i="2"/>
  <c r="D615" i="2"/>
  <c r="C615" i="2"/>
  <c r="G615" i="2" s="1"/>
  <c r="H615" i="2" s="1"/>
  <c r="I615" i="2" s="1"/>
  <c r="B615" i="2"/>
  <c r="D614" i="2"/>
  <c r="C614" i="2"/>
  <c r="G614" i="2" s="1"/>
  <c r="H614" i="2" s="1"/>
  <c r="I614" i="2" s="1"/>
  <c r="B614" i="2"/>
  <c r="D613" i="2"/>
  <c r="C613" i="2"/>
  <c r="G613" i="2" s="1"/>
  <c r="H613" i="2" s="1"/>
  <c r="I613" i="2" s="1"/>
  <c r="B613" i="2"/>
  <c r="D612" i="2"/>
  <c r="C612" i="2"/>
  <c r="G612" i="2" s="1"/>
  <c r="H612" i="2" s="1"/>
  <c r="I612" i="2" s="1"/>
  <c r="B612" i="2"/>
  <c r="D611" i="2"/>
  <c r="C611" i="2"/>
  <c r="G611" i="2" s="1"/>
  <c r="H611" i="2" s="1"/>
  <c r="I611" i="2" s="1"/>
  <c r="B611" i="2"/>
  <c r="D610" i="2"/>
  <c r="C610" i="2"/>
  <c r="G610" i="2" s="1"/>
  <c r="H610" i="2" s="1"/>
  <c r="I610" i="2" s="1"/>
  <c r="B610" i="2"/>
  <c r="D609" i="2"/>
  <c r="C609" i="2"/>
  <c r="G609" i="2" s="1"/>
  <c r="H609" i="2" s="1"/>
  <c r="I609" i="2" s="1"/>
  <c r="B609" i="2"/>
  <c r="D608" i="2"/>
  <c r="C608" i="2"/>
  <c r="G608" i="2" s="1"/>
  <c r="H608" i="2" s="1"/>
  <c r="I608" i="2" s="1"/>
  <c r="B608" i="2"/>
  <c r="D607" i="2"/>
  <c r="C607" i="2"/>
  <c r="G607" i="2" s="1"/>
  <c r="H607" i="2" s="1"/>
  <c r="I607" i="2" s="1"/>
  <c r="B607" i="2"/>
  <c r="D606" i="2"/>
  <c r="C606" i="2"/>
  <c r="G606" i="2" s="1"/>
  <c r="H606" i="2" s="1"/>
  <c r="I606" i="2" s="1"/>
  <c r="B606" i="2"/>
  <c r="D605" i="2"/>
  <c r="C605" i="2"/>
  <c r="G605" i="2" s="1"/>
  <c r="H605" i="2" s="1"/>
  <c r="I605" i="2" s="1"/>
  <c r="B605" i="2"/>
  <c r="D604" i="2"/>
  <c r="C604" i="2"/>
  <c r="G604" i="2" s="1"/>
  <c r="H604" i="2" s="1"/>
  <c r="I604" i="2" s="1"/>
  <c r="B604" i="2"/>
  <c r="D603" i="2"/>
  <c r="C603" i="2"/>
  <c r="G603" i="2" s="1"/>
  <c r="H603" i="2" s="1"/>
  <c r="I603" i="2" s="1"/>
  <c r="B603" i="2"/>
  <c r="D602" i="2"/>
  <c r="C602" i="2"/>
  <c r="G602" i="2" s="1"/>
  <c r="H602" i="2" s="1"/>
  <c r="I602" i="2" s="1"/>
  <c r="B602" i="2"/>
  <c r="D601" i="2"/>
  <c r="C601" i="2"/>
  <c r="G601" i="2" s="1"/>
  <c r="H601" i="2" s="1"/>
  <c r="I601" i="2" s="1"/>
  <c r="B601" i="2"/>
  <c r="D600" i="2"/>
  <c r="C600" i="2"/>
  <c r="G600" i="2" s="1"/>
  <c r="H600" i="2" s="1"/>
  <c r="I600" i="2" s="1"/>
  <c r="B600" i="2"/>
  <c r="D599" i="2"/>
  <c r="C599" i="2"/>
  <c r="G599" i="2" s="1"/>
  <c r="H599" i="2" s="1"/>
  <c r="I599" i="2" s="1"/>
  <c r="B599" i="2"/>
  <c r="D598" i="2"/>
  <c r="C598" i="2"/>
  <c r="G598" i="2" s="1"/>
  <c r="H598" i="2" s="1"/>
  <c r="I598" i="2" s="1"/>
  <c r="B598" i="2"/>
  <c r="D597" i="2"/>
  <c r="C597" i="2"/>
  <c r="G597" i="2" s="1"/>
  <c r="H597" i="2" s="1"/>
  <c r="I597" i="2" s="1"/>
  <c r="B597" i="2"/>
  <c r="D596" i="2"/>
  <c r="C596" i="2"/>
  <c r="G596" i="2" s="1"/>
  <c r="H596" i="2" s="1"/>
  <c r="I596" i="2" s="1"/>
  <c r="B596" i="2"/>
  <c r="D595" i="2"/>
  <c r="C595" i="2"/>
  <c r="G595" i="2" s="1"/>
  <c r="H595" i="2" s="1"/>
  <c r="I595" i="2" s="1"/>
  <c r="B595" i="2"/>
  <c r="D594" i="2"/>
  <c r="C594" i="2"/>
  <c r="G594" i="2" s="1"/>
  <c r="H594" i="2" s="1"/>
  <c r="I594" i="2" s="1"/>
  <c r="B594" i="2"/>
  <c r="D593" i="2"/>
  <c r="C593" i="2"/>
  <c r="G593" i="2" s="1"/>
  <c r="H593" i="2" s="1"/>
  <c r="I593" i="2" s="1"/>
  <c r="B593" i="2"/>
  <c r="D592" i="2"/>
  <c r="C592" i="2"/>
  <c r="G592" i="2" s="1"/>
  <c r="H592" i="2" s="1"/>
  <c r="I592" i="2" s="1"/>
  <c r="B592" i="2"/>
  <c r="D591" i="2"/>
  <c r="C591" i="2"/>
  <c r="G591" i="2" s="1"/>
  <c r="H591" i="2" s="1"/>
  <c r="I591" i="2" s="1"/>
  <c r="B591" i="2"/>
  <c r="D590" i="2"/>
  <c r="C590" i="2"/>
  <c r="G590" i="2" s="1"/>
  <c r="H590" i="2" s="1"/>
  <c r="I590" i="2" s="1"/>
  <c r="B590" i="2"/>
  <c r="D589" i="2"/>
  <c r="C589" i="2"/>
  <c r="G589" i="2" s="1"/>
  <c r="H589" i="2" s="1"/>
  <c r="I589" i="2" s="1"/>
  <c r="B589" i="2"/>
  <c r="D588" i="2"/>
  <c r="C588" i="2"/>
  <c r="G588" i="2" s="1"/>
  <c r="H588" i="2" s="1"/>
  <c r="I588" i="2" s="1"/>
  <c r="B588" i="2"/>
  <c r="G587" i="2"/>
  <c r="H587" i="2" s="1"/>
  <c r="I587" i="2" s="1"/>
  <c r="D587" i="2"/>
  <c r="C587" i="2"/>
  <c r="B587" i="2"/>
  <c r="D586" i="2"/>
  <c r="C586" i="2"/>
  <c r="G586" i="2" s="1"/>
  <c r="H586" i="2" s="1"/>
  <c r="I586" i="2" s="1"/>
  <c r="B586" i="2"/>
  <c r="D585" i="2"/>
  <c r="C585" i="2"/>
  <c r="G585" i="2" s="1"/>
  <c r="H585" i="2" s="1"/>
  <c r="I585" i="2" s="1"/>
  <c r="B585" i="2"/>
  <c r="D584" i="2"/>
  <c r="C584" i="2"/>
  <c r="G584" i="2" s="1"/>
  <c r="H584" i="2" s="1"/>
  <c r="I584" i="2" s="1"/>
  <c r="B584" i="2"/>
  <c r="D583" i="2"/>
  <c r="C583" i="2"/>
  <c r="G583" i="2" s="1"/>
  <c r="H583" i="2" s="1"/>
  <c r="I583" i="2" s="1"/>
  <c r="B583" i="2"/>
  <c r="D582" i="2"/>
  <c r="C582" i="2"/>
  <c r="G582" i="2" s="1"/>
  <c r="H582" i="2" s="1"/>
  <c r="I582" i="2" s="1"/>
  <c r="B582" i="2"/>
  <c r="D581" i="2"/>
  <c r="C581" i="2"/>
  <c r="G581" i="2" s="1"/>
  <c r="H581" i="2" s="1"/>
  <c r="I581" i="2" s="1"/>
  <c r="B581" i="2"/>
  <c r="D580" i="2"/>
  <c r="C580" i="2"/>
  <c r="G580" i="2" s="1"/>
  <c r="H580" i="2" s="1"/>
  <c r="I580" i="2" s="1"/>
  <c r="B580" i="2"/>
  <c r="D579" i="2"/>
  <c r="C579" i="2"/>
  <c r="G579" i="2" s="1"/>
  <c r="H579" i="2" s="1"/>
  <c r="I579" i="2" s="1"/>
  <c r="B579" i="2"/>
  <c r="D578" i="2"/>
  <c r="C578" i="2"/>
  <c r="G578" i="2" s="1"/>
  <c r="H578" i="2" s="1"/>
  <c r="I578" i="2" s="1"/>
  <c r="B578" i="2"/>
  <c r="D577" i="2"/>
  <c r="C577" i="2"/>
  <c r="G577" i="2" s="1"/>
  <c r="H577" i="2" s="1"/>
  <c r="I577" i="2" s="1"/>
  <c r="B577" i="2"/>
  <c r="D576" i="2"/>
  <c r="C576" i="2"/>
  <c r="G576" i="2" s="1"/>
  <c r="H576" i="2" s="1"/>
  <c r="I576" i="2" s="1"/>
  <c r="B576" i="2"/>
  <c r="D575" i="2"/>
  <c r="C575" i="2"/>
  <c r="G575" i="2" s="1"/>
  <c r="H575" i="2" s="1"/>
  <c r="I575" i="2" s="1"/>
  <c r="B575" i="2"/>
  <c r="D574" i="2"/>
  <c r="C574" i="2"/>
  <c r="G574" i="2" s="1"/>
  <c r="H574" i="2" s="1"/>
  <c r="I574" i="2" s="1"/>
  <c r="B574" i="2"/>
  <c r="D573" i="2"/>
  <c r="C573" i="2"/>
  <c r="G573" i="2" s="1"/>
  <c r="H573" i="2" s="1"/>
  <c r="I573" i="2" s="1"/>
  <c r="B573" i="2"/>
  <c r="D572" i="2"/>
  <c r="C572" i="2"/>
  <c r="G572" i="2" s="1"/>
  <c r="H572" i="2" s="1"/>
  <c r="I572" i="2" s="1"/>
  <c r="B572" i="2"/>
  <c r="D571" i="2"/>
  <c r="C571" i="2"/>
  <c r="G571" i="2" s="1"/>
  <c r="H571" i="2" s="1"/>
  <c r="I571" i="2" s="1"/>
  <c r="B571" i="2"/>
  <c r="E570" i="2"/>
  <c r="D570" i="2"/>
  <c r="C570" i="2"/>
  <c r="G570" i="2" s="1"/>
  <c r="H570" i="2" s="1"/>
  <c r="I570" i="2" s="1"/>
  <c r="B570" i="2"/>
  <c r="E569" i="2"/>
  <c r="D569" i="2"/>
  <c r="C569" i="2"/>
  <c r="G569" i="2" s="1"/>
  <c r="H569" i="2" s="1"/>
  <c r="I569" i="2" s="1"/>
  <c r="B569" i="2"/>
  <c r="E568" i="2"/>
  <c r="D568" i="2"/>
  <c r="C568" i="2"/>
  <c r="G568" i="2" s="1"/>
  <c r="H568" i="2" s="1"/>
  <c r="I568" i="2" s="1"/>
  <c r="B568" i="2"/>
  <c r="E567" i="2"/>
  <c r="D567" i="2"/>
  <c r="C567" i="2"/>
  <c r="G567" i="2" s="1"/>
  <c r="H567" i="2" s="1"/>
  <c r="I567" i="2" s="1"/>
  <c r="B567" i="2"/>
  <c r="D566" i="2"/>
  <c r="C566" i="2"/>
  <c r="G566" i="2" s="1"/>
  <c r="H566" i="2" s="1"/>
  <c r="I566" i="2" s="1"/>
  <c r="B566" i="2"/>
  <c r="D565" i="2"/>
  <c r="C565" i="2"/>
  <c r="G565" i="2" s="1"/>
  <c r="H565" i="2" s="1"/>
  <c r="I565" i="2" s="1"/>
  <c r="B565" i="2"/>
  <c r="D564" i="2"/>
  <c r="C564" i="2"/>
  <c r="G564" i="2" s="1"/>
  <c r="H564" i="2" s="1"/>
  <c r="I564" i="2" s="1"/>
  <c r="B564" i="2"/>
  <c r="D563" i="2"/>
  <c r="C563" i="2"/>
  <c r="G563" i="2" s="1"/>
  <c r="H563" i="2" s="1"/>
  <c r="I563" i="2" s="1"/>
  <c r="B563" i="2"/>
  <c r="D562" i="2"/>
  <c r="C562" i="2"/>
  <c r="G562" i="2" s="1"/>
  <c r="H562" i="2" s="1"/>
  <c r="I562" i="2" s="1"/>
  <c r="B562" i="2"/>
  <c r="D561" i="2"/>
  <c r="C561" i="2"/>
  <c r="G561" i="2" s="1"/>
  <c r="H561" i="2" s="1"/>
  <c r="I561" i="2" s="1"/>
  <c r="B561" i="2"/>
  <c r="D560" i="2"/>
  <c r="C560" i="2"/>
  <c r="G560" i="2" s="1"/>
  <c r="H560" i="2" s="1"/>
  <c r="I560" i="2" s="1"/>
  <c r="B560" i="2"/>
  <c r="D559" i="2"/>
  <c r="C559" i="2"/>
  <c r="G559" i="2" s="1"/>
  <c r="H559" i="2" s="1"/>
  <c r="I559" i="2" s="1"/>
  <c r="B559" i="2"/>
  <c r="D558" i="2"/>
  <c r="C558" i="2"/>
  <c r="G558" i="2" s="1"/>
  <c r="H558" i="2" s="1"/>
  <c r="I558" i="2" s="1"/>
  <c r="B558" i="2"/>
  <c r="D557" i="2"/>
  <c r="C557" i="2"/>
  <c r="G557" i="2" s="1"/>
  <c r="H557" i="2" s="1"/>
  <c r="I557" i="2" s="1"/>
  <c r="B557" i="2"/>
  <c r="D556" i="2"/>
  <c r="C556" i="2"/>
  <c r="G556" i="2" s="1"/>
  <c r="H556" i="2" s="1"/>
  <c r="I556" i="2" s="1"/>
  <c r="B556" i="2"/>
  <c r="D555" i="2"/>
  <c r="C555" i="2"/>
  <c r="G555" i="2" s="1"/>
  <c r="H555" i="2" s="1"/>
  <c r="I555" i="2" s="1"/>
  <c r="B555" i="2"/>
  <c r="D554" i="2"/>
  <c r="C554" i="2"/>
  <c r="G554" i="2" s="1"/>
  <c r="H554" i="2" s="1"/>
  <c r="I554" i="2" s="1"/>
  <c r="B554" i="2"/>
  <c r="D553" i="2"/>
  <c r="C553" i="2"/>
  <c r="G553" i="2" s="1"/>
  <c r="H553" i="2" s="1"/>
  <c r="I553" i="2" s="1"/>
  <c r="B553" i="2"/>
  <c r="D552" i="2"/>
  <c r="C552" i="2"/>
  <c r="G552" i="2" s="1"/>
  <c r="H552" i="2" s="1"/>
  <c r="I552" i="2" s="1"/>
  <c r="B552" i="2"/>
  <c r="D551" i="2"/>
  <c r="C551" i="2"/>
  <c r="G551" i="2" s="1"/>
  <c r="H551" i="2" s="1"/>
  <c r="I551" i="2" s="1"/>
  <c r="B551" i="2"/>
  <c r="D550" i="2"/>
  <c r="C550" i="2"/>
  <c r="G550" i="2" s="1"/>
  <c r="H550" i="2" s="1"/>
  <c r="I550" i="2" s="1"/>
  <c r="B550" i="2"/>
  <c r="D549" i="2"/>
  <c r="C549" i="2"/>
  <c r="G549" i="2" s="1"/>
  <c r="H549" i="2" s="1"/>
  <c r="I549" i="2" s="1"/>
  <c r="B549" i="2"/>
  <c r="D548" i="2"/>
  <c r="C548" i="2"/>
  <c r="G548" i="2" s="1"/>
  <c r="H548" i="2" s="1"/>
  <c r="I548" i="2" s="1"/>
  <c r="B548" i="2"/>
  <c r="D547" i="2"/>
  <c r="C547" i="2"/>
  <c r="G547" i="2" s="1"/>
  <c r="H547" i="2" s="1"/>
  <c r="I547" i="2" s="1"/>
  <c r="B547" i="2"/>
  <c r="D546" i="2"/>
  <c r="C546" i="2"/>
  <c r="G546" i="2" s="1"/>
  <c r="H546" i="2" s="1"/>
  <c r="I546" i="2" s="1"/>
  <c r="B546" i="2"/>
  <c r="D545" i="2"/>
  <c r="C545" i="2"/>
  <c r="G545" i="2" s="1"/>
  <c r="H545" i="2" s="1"/>
  <c r="I545" i="2" s="1"/>
  <c r="B545" i="2"/>
  <c r="E544" i="2"/>
  <c r="D544" i="2"/>
  <c r="C544" i="2"/>
  <c r="G544" i="2" s="1"/>
  <c r="H544" i="2" s="1"/>
  <c r="I544" i="2" s="1"/>
  <c r="B544" i="2"/>
  <c r="G543" i="2"/>
  <c r="H543" i="2" s="1"/>
  <c r="I543" i="2" s="1"/>
  <c r="E543" i="2"/>
  <c r="D543" i="2"/>
  <c r="C543" i="2"/>
  <c r="B543" i="2"/>
  <c r="D542" i="2"/>
  <c r="C542" i="2"/>
  <c r="G542" i="2" s="1"/>
  <c r="H542" i="2" s="1"/>
  <c r="I542" i="2" s="1"/>
  <c r="B542" i="2"/>
  <c r="D541" i="2"/>
  <c r="C541" i="2"/>
  <c r="G541" i="2" s="1"/>
  <c r="H541" i="2" s="1"/>
  <c r="I541" i="2" s="1"/>
  <c r="B541" i="2"/>
  <c r="D540" i="2"/>
  <c r="C540" i="2"/>
  <c r="G540" i="2" s="1"/>
  <c r="H540" i="2" s="1"/>
  <c r="I540" i="2" s="1"/>
  <c r="B540" i="2"/>
  <c r="D539" i="2"/>
  <c r="C539" i="2"/>
  <c r="G539" i="2" s="1"/>
  <c r="H539" i="2" s="1"/>
  <c r="I539" i="2" s="1"/>
  <c r="B539" i="2"/>
  <c r="D538" i="2"/>
  <c r="C538" i="2"/>
  <c r="G538" i="2" s="1"/>
  <c r="H538" i="2" s="1"/>
  <c r="I538" i="2" s="1"/>
  <c r="B538" i="2"/>
  <c r="D537" i="2"/>
  <c r="C537" i="2"/>
  <c r="G537" i="2" s="1"/>
  <c r="H537" i="2" s="1"/>
  <c r="I537" i="2" s="1"/>
  <c r="B537" i="2"/>
  <c r="D536" i="2"/>
  <c r="C536" i="2"/>
  <c r="G536" i="2" s="1"/>
  <c r="H536" i="2" s="1"/>
  <c r="I536" i="2" s="1"/>
  <c r="B536" i="2"/>
  <c r="D535" i="2"/>
  <c r="C535" i="2"/>
  <c r="G535" i="2" s="1"/>
  <c r="H535" i="2" s="1"/>
  <c r="I535" i="2" s="1"/>
  <c r="B535" i="2"/>
  <c r="D534" i="2"/>
  <c r="C534" i="2"/>
  <c r="G534" i="2" s="1"/>
  <c r="H534" i="2" s="1"/>
  <c r="I534" i="2" s="1"/>
  <c r="B534" i="2"/>
  <c r="D533" i="2"/>
  <c r="C533" i="2"/>
  <c r="G533" i="2" s="1"/>
  <c r="H533" i="2" s="1"/>
  <c r="I533" i="2" s="1"/>
  <c r="B533" i="2"/>
  <c r="D532" i="2"/>
  <c r="C532" i="2"/>
  <c r="G532" i="2" s="1"/>
  <c r="H532" i="2" s="1"/>
  <c r="I532" i="2" s="1"/>
  <c r="B532" i="2"/>
  <c r="D531" i="2"/>
  <c r="C531" i="2"/>
  <c r="G531" i="2" s="1"/>
  <c r="H531" i="2" s="1"/>
  <c r="I531" i="2" s="1"/>
  <c r="B531" i="2"/>
  <c r="G530" i="2"/>
  <c r="H530" i="2" s="1"/>
  <c r="I530" i="2" s="1"/>
  <c r="D530" i="2"/>
  <c r="C530" i="2"/>
  <c r="B530" i="2"/>
  <c r="D529" i="2"/>
  <c r="C529" i="2"/>
  <c r="G529" i="2" s="1"/>
  <c r="H529" i="2" s="1"/>
  <c r="I529" i="2" s="1"/>
  <c r="B529" i="2"/>
  <c r="D528" i="2"/>
  <c r="C528" i="2"/>
  <c r="G528" i="2" s="1"/>
  <c r="H528" i="2" s="1"/>
  <c r="I528" i="2" s="1"/>
  <c r="B528" i="2"/>
  <c r="E527" i="2"/>
  <c r="D527" i="2"/>
  <c r="C527" i="2"/>
  <c r="G527" i="2" s="1"/>
  <c r="H527" i="2" s="1"/>
  <c r="I527" i="2" s="1"/>
  <c r="B527" i="2"/>
  <c r="D526" i="2"/>
  <c r="C526" i="2"/>
  <c r="G526" i="2" s="1"/>
  <c r="H526" i="2" s="1"/>
  <c r="I526" i="2" s="1"/>
  <c r="B526" i="2"/>
  <c r="D525" i="2"/>
  <c r="C525" i="2"/>
  <c r="G525" i="2" s="1"/>
  <c r="H525" i="2" s="1"/>
  <c r="I525" i="2" s="1"/>
  <c r="B525" i="2"/>
  <c r="D524" i="2"/>
  <c r="C524" i="2"/>
  <c r="G524" i="2" s="1"/>
  <c r="H524" i="2" s="1"/>
  <c r="I524" i="2" s="1"/>
  <c r="B524" i="2"/>
  <c r="D523" i="2"/>
  <c r="C523" i="2"/>
  <c r="G523" i="2" s="1"/>
  <c r="H523" i="2" s="1"/>
  <c r="I523" i="2" s="1"/>
  <c r="B523" i="2"/>
  <c r="D522" i="2"/>
  <c r="C522" i="2"/>
  <c r="G522" i="2" s="1"/>
  <c r="H522" i="2" s="1"/>
  <c r="I522" i="2" s="1"/>
  <c r="B522" i="2"/>
  <c r="D521" i="2"/>
  <c r="C521" i="2"/>
  <c r="G521" i="2" s="1"/>
  <c r="H521" i="2" s="1"/>
  <c r="I521" i="2" s="1"/>
  <c r="B521" i="2"/>
  <c r="D520" i="2"/>
  <c r="C520" i="2"/>
  <c r="G520" i="2" s="1"/>
  <c r="H520" i="2" s="1"/>
  <c r="I520" i="2" s="1"/>
  <c r="B520" i="2"/>
  <c r="D519" i="2"/>
  <c r="C519" i="2"/>
  <c r="G519" i="2" s="1"/>
  <c r="H519" i="2" s="1"/>
  <c r="I519" i="2" s="1"/>
  <c r="B519" i="2"/>
  <c r="D518" i="2"/>
  <c r="C518" i="2"/>
  <c r="G518" i="2" s="1"/>
  <c r="H518" i="2" s="1"/>
  <c r="I518" i="2" s="1"/>
  <c r="B518" i="2"/>
  <c r="D517" i="2"/>
  <c r="C517" i="2"/>
  <c r="G517" i="2" s="1"/>
  <c r="H517" i="2" s="1"/>
  <c r="I517" i="2" s="1"/>
  <c r="B517" i="2"/>
  <c r="D516" i="2"/>
  <c r="C516" i="2"/>
  <c r="G516" i="2" s="1"/>
  <c r="H516" i="2" s="1"/>
  <c r="I516" i="2" s="1"/>
  <c r="B516" i="2"/>
  <c r="D515" i="2"/>
  <c r="C515" i="2"/>
  <c r="G515" i="2" s="1"/>
  <c r="H515" i="2" s="1"/>
  <c r="I515" i="2" s="1"/>
  <c r="B515" i="2"/>
  <c r="D514" i="2"/>
  <c r="C514" i="2"/>
  <c r="G514" i="2" s="1"/>
  <c r="H514" i="2" s="1"/>
  <c r="I514" i="2" s="1"/>
  <c r="B514" i="2"/>
  <c r="D513" i="2"/>
  <c r="C513" i="2"/>
  <c r="G513" i="2" s="1"/>
  <c r="H513" i="2" s="1"/>
  <c r="I513" i="2" s="1"/>
  <c r="B513" i="2"/>
  <c r="G512" i="2"/>
  <c r="H512" i="2" s="1"/>
  <c r="I512" i="2" s="1"/>
  <c r="D512" i="2"/>
  <c r="C512" i="2"/>
  <c r="B512" i="2"/>
  <c r="D511" i="2"/>
  <c r="C511" i="2"/>
  <c r="G511" i="2" s="1"/>
  <c r="H511" i="2" s="1"/>
  <c r="I511" i="2" s="1"/>
  <c r="B511" i="2"/>
  <c r="D510" i="2"/>
  <c r="C510" i="2"/>
  <c r="G510" i="2" s="1"/>
  <c r="H510" i="2" s="1"/>
  <c r="I510" i="2" s="1"/>
  <c r="B510" i="2"/>
  <c r="D509" i="2"/>
  <c r="C509" i="2"/>
  <c r="G509" i="2" s="1"/>
  <c r="H509" i="2" s="1"/>
  <c r="I509" i="2" s="1"/>
  <c r="B509" i="2"/>
  <c r="D508" i="2"/>
  <c r="C508" i="2"/>
  <c r="G508" i="2" s="1"/>
  <c r="H508" i="2" s="1"/>
  <c r="I508" i="2" s="1"/>
  <c r="B508" i="2"/>
  <c r="D507" i="2"/>
  <c r="C507" i="2"/>
  <c r="G507" i="2" s="1"/>
  <c r="H507" i="2" s="1"/>
  <c r="I507" i="2" s="1"/>
  <c r="B507" i="2"/>
  <c r="D506" i="2"/>
  <c r="C506" i="2"/>
  <c r="G506" i="2" s="1"/>
  <c r="H506" i="2" s="1"/>
  <c r="I506" i="2" s="1"/>
  <c r="B506" i="2"/>
  <c r="D505" i="2"/>
  <c r="C505" i="2"/>
  <c r="G505" i="2" s="1"/>
  <c r="H505" i="2" s="1"/>
  <c r="I505" i="2" s="1"/>
  <c r="B505" i="2"/>
  <c r="D504" i="2"/>
  <c r="C504" i="2"/>
  <c r="G504" i="2" s="1"/>
  <c r="H504" i="2" s="1"/>
  <c r="I504" i="2" s="1"/>
  <c r="B504" i="2"/>
  <c r="D503" i="2"/>
  <c r="C503" i="2"/>
  <c r="G503" i="2" s="1"/>
  <c r="H503" i="2" s="1"/>
  <c r="I503" i="2" s="1"/>
  <c r="B503" i="2"/>
  <c r="D502" i="2"/>
  <c r="C502" i="2"/>
  <c r="G502" i="2" s="1"/>
  <c r="H502" i="2" s="1"/>
  <c r="I502" i="2" s="1"/>
  <c r="B502" i="2"/>
  <c r="D501" i="2"/>
  <c r="C501" i="2"/>
  <c r="G501" i="2" s="1"/>
  <c r="H501" i="2" s="1"/>
  <c r="I501" i="2" s="1"/>
  <c r="B501" i="2"/>
  <c r="D500" i="2"/>
  <c r="C500" i="2"/>
  <c r="G500" i="2" s="1"/>
  <c r="H500" i="2" s="1"/>
  <c r="I500" i="2" s="1"/>
  <c r="B500" i="2"/>
  <c r="D499" i="2"/>
  <c r="C499" i="2"/>
  <c r="G499" i="2" s="1"/>
  <c r="H499" i="2" s="1"/>
  <c r="I499" i="2" s="1"/>
  <c r="B499" i="2"/>
  <c r="D498" i="2"/>
  <c r="C498" i="2"/>
  <c r="G498" i="2" s="1"/>
  <c r="H498" i="2" s="1"/>
  <c r="I498" i="2" s="1"/>
  <c r="B498" i="2"/>
  <c r="D497" i="2"/>
  <c r="C497" i="2"/>
  <c r="G497" i="2" s="1"/>
  <c r="H497" i="2" s="1"/>
  <c r="I497" i="2" s="1"/>
  <c r="B497" i="2"/>
  <c r="D496" i="2"/>
  <c r="C496" i="2"/>
  <c r="G496" i="2" s="1"/>
  <c r="H496" i="2" s="1"/>
  <c r="I496" i="2" s="1"/>
  <c r="B496" i="2"/>
  <c r="D495" i="2"/>
  <c r="C495" i="2"/>
  <c r="G495" i="2" s="1"/>
  <c r="H495" i="2" s="1"/>
  <c r="I495" i="2" s="1"/>
  <c r="B495" i="2"/>
  <c r="D494" i="2"/>
  <c r="C494" i="2"/>
  <c r="G494" i="2" s="1"/>
  <c r="H494" i="2" s="1"/>
  <c r="I494" i="2" s="1"/>
  <c r="B494" i="2"/>
  <c r="D493" i="2"/>
  <c r="C493" i="2"/>
  <c r="G493" i="2" s="1"/>
  <c r="H493" i="2" s="1"/>
  <c r="I493" i="2" s="1"/>
  <c r="B493" i="2"/>
  <c r="D492" i="2"/>
  <c r="C492" i="2"/>
  <c r="G492" i="2" s="1"/>
  <c r="H492" i="2" s="1"/>
  <c r="I492" i="2" s="1"/>
  <c r="B492" i="2"/>
  <c r="D491" i="2"/>
  <c r="C491" i="2"/>
  <c r="G491" i="2" s="1"/>
  <c r="H491" i="2" s="1"/>
  <c r="I491" i="2" s="1"/>
  <c r="B491" i="2"/>
  <c r="D490" i="2"/>
  <c r="C490" i="2"/>
  <c r="G490" i="2" s="1"/>
  <c r="H490" i="2" s="1"/>
  <c r="I490" i="2" s="1"/>
  <c r="B490" i="2"/>
  <c r="D489" i="2"/>
  <c r="C489" i="2"/>
  <c r="G489" i="2" s="1"/>
  <c r="H489" i="2" s="1"/>
  <c r="I489" i="2" s="1"/>
  <c r="B489" i="2"/>
  <c r="D488" i="2"/>
  <c r="C488" i="2"/>
  <c r="G488" i="2" s="1"/>
  <c r="H488" i="2" s="1"/>
  <c r="I488" i="2" s="1"/>
  <c r="B488" i="2"/>
  <c r="D487" i="2"/>
  <c r="C487" i="2"/>
  <c r="G487" i="2" s="1"/>
  <c r="H487" i="2" s="1"/>
  <c r="I487" i="2" s="1"/>
  <c r="B487" i="2"/>
  <c r="D486" i="2"/>
  <c r="C486" i="2"/>
  <c r="G486" i="2" s="1"/>
  <c r="H486" i="2" s="1"/>
  <c r="I486" i="2" s="1"/>
  <c r="B486" i="2"/>
  <c r="D485" i="2"/>
  <c r="C485" i="2"/>
  <c r="G485" i="2" s="1"/>
  <c r="H485" i="2" s="1"/>
  <c r="I485" i="2" s="1"/>
  <c r="B485" i="2"/>
  <c r="D484" i="2"/>
  <c r="C484" i="2"/>
  <c r="G484" i="2" s="1"/>
  <c r="H484" i="2" s="1"/>
  <c r="I484" i="2" s="1"/>
  <c r="B484" i="2"/>
  <c r="D483" i="2"/>
  <c r="C483" i="2"/>
  <c r="G483" i="2" s="1"/>
  <c r="H483" i="2" s="1"/>
  <c r="I483" i="2" s="1"/>
  <c r="B483" i="2"/>
  <c r="D482" i="2"/>
  <c r="C482" i="2"/>
  <c r="G482" i="2" s="1"/>
  <c r="H482" i="2" s="1"/>
  <c r="I482" i="2" s="1"/>
  <c r="B482" i="2"/>
  <c r="D481" i="2"/>
  <c r="C481" i="2"/>
  <c r="G481" i="2" s="1"/>
  <c r="H481" i="2" s="1"/>
  <c r="I481" i="2" s="1"/>
  <c r="B481" i="2"/>
  <c r="D480" i="2"/>
  <c r="C480" i="2"/>
  <c r="G480" i="2" s="1"/>
  <c r="H480" i="2" s="1"/>
  <c r="I480" i="2" s="1"/>
  <c r="B480" i="2"/>
  <c r="D479" i="2"/>
  <c r="C479" i="2"/>
  <c r="G479" i="2" s="1"/>
  <c r="H479" i="2" s="1"/>
  <c r="I479" i="2" s="1"/>
  <c r="B479" i="2"/>
  <c r="D478" i="2"/>
  <c r="C478" i="2"/>
  <c r="G478" i="2" s="1"/>
  <c r="H478" i="2" s="1"/>
  <c r="I478" i="2" s="1"/>
  <c r="B478" i="2"/>
  <c r="D477" i="2"/>
  <c r="C477" i="2"/>
  <c r="G477" i="2" s="1"/>
  <c r="H477" i="2" s="1"/>
  <c r="I477" i="2" s="1"/>
  <c r="B477" i="2"/>
  <c r="D476" i="2"/>
  <c r="C476" i="2"/>
  <c r="G476" i="2" s="1"/>
  <c r="H476" i="2" s="1"/>
  <c r="I476" i="2" s="1"/>
  <c r="B476" i="2"/>
  <c r="D475" i="2"/>
  <c r="C475" i="2"/>
  <c r="G475" i="2" s="1"/>
  <c r="H475" i="2" s="1"/>
  <c r="I475" i="2" s="1"/>
  <c r="B475" i="2"/>
  <c r="D474" i="2"/>
  <c r="C474" i="2"/>
  <c r="G474" i="2" s="1"/>
  <c r="H474" i="2" s="1"/>
  <c r="I474" i="2" s="1"/>
  <c r="B474" i="2"/>
  <c r="E473" i="2"/>
  <c r="D473" i="2"/>
  <c r="C473" i="2"/>
  <c r="G473" i="2" s="1"/>
  <c r="H473" i="2" s="1"/>
  <c r="I473" i="2" s="1"/>
  <c r="B473" i="2"/>
  <c r="E472" i="2"/>
  <c r="D472" i="2"/>
  <c r="C472" i="2"/>
  <c r="G472" i="2" s="1"/>
  <c r="H472" i="2" s="1"/>
  <c r="I472" i="2" s="1"/>
  <c r="B472" i="2"/>
  <c r="E471" i="2"/>
  <c r="D471" i="2"/>
  <c r="C471" i="2"/>
  <c r="G471" i="2" s="1"/>
  <c r="H471" i="2" s="1"/>
  <c r="I471" i="2" s="1"/>
  <c r="B471" i="2"/>
  <c r="E470" i="2"/>
  <c r="D470" i="2"/>
  <c r="C470" i="2"/>
  <c r="G470" i="2" s="1"/>
  <c r="H470" i="2" s="1"/>
  <c r="I470" i="2" s="1"/>
  <c r="B470" i="2"/>
  <c r="E469" i="2"/>
  <c r="D469" i="2"/>
  <c r="C469" i="2"/>
  <c r="G469" i="2" s="1"/>
  <c r="H469" i="2" s="1"/>
  <c r="I469" i="2" s="1"/>
  <c r="B469" i="2"/>
  <c r="E468" i="2"/>
  <c r="D468" i="2"/>
  <c r="C468" i="2"/>
  <c r="G468" i="2" s="1"/>
  <c r="H468" i="2" s="1"/>
  <c r="I468" i="2" s="1"/>
  <c r="B468" i="2"/>
  <c r="E467" i="2"/>
  <c r="D467" i="2"/>
  <c r="C467" i="2"/>
  <c r="G467" i="2" s="1"/>
  <c r="H467" i="2" s="1"/>
  <c r="I467" i="2" s="1"/>
  <c r="B467" i="2"/>
  <c r="E466" i="2"/>
  <c r="D466" i="2"/>
  <c r="C466" i="2"/>
  <c r="G466" i="2" s="1"/>
  <c r="H466" i="2" s="1"/>
  <c r="I466" i="2" s="1"/>
  <c r="B466" i="2"/>
  <c r="D465" i="2"/>
  <c r="C465" i="2"/>
  <c r="G465" i="2" s="1"/>
  <c r="H465" i="2" s="1"/>
  <c r="I465" i="2" s="1"/>
  <c r="B465" i="2"/>
  <c r="D464" i="2"/>
  <c r="C464" i="2"/>
  <c r="G464" i="2" s="1"/>
  <c r="H464" i="2" s="1"/>
  <c r="I464" i="2" s="1"/>
  <c r="B464" i="2"/>
  <c r="D463" i="2"/>
  <c r="C463" i="2"/>
  <c r="G463" i="2" s="1"/>
  <c r="H463" i="2" s="1"/>
  <c r="I463" i="2" s="1"/>
  <c r="B463" i="2"/>
  <c r="D462" i="2"/>
  <c r="C462" i="2"/>
  <c r="G462" i="2" s="1"/>
  <c r="H462" i="2" s="1"/>
  <c r="I462" i="2" s="1"/>
  <c r="B462" i="2"/>
  <c r="D461" i="2"/>
  <c r="C461" i="2"/>
  <c r="G461" i="2" s="1"/>
  <c r="H461" i="2" s="1"/>
  <c r="I461" i="2" s="1"/>
  <c r="B461" i="2"/>
  <c r="D460" i="2"/>
  <c r="C460" i="2"/>
  <c r="G460" i="2" s="1"/>
  <c r="H460" i="2" s="1"/>
  <c r="I460" i="2" s="1"/>
  <c r="B460" i="2"/>
  <c r="D459" i="2"/>
  <c r="C459" i="2"/>
  <c r="G459" i="2" s="1"/>
  <c r="H459" i="2" s="1"/>
  <c r="I459" i="2" s="1"/>
  <c r="B459" i="2"/>
  <c r="D458" i="2"/>
  <c r="C458" i="2"/>
  <c r="G458" i="2" s="1"/>
  <c r="H458" i="2" s="1"/>
  <c r="I458" i="2" s="1"/>
  <c r="B458" i="2"/>
  <c r="D457" i="2"/>
  <c r="C457" i="2"/>
  <c r="G457" i="2" s="1"/>
  <c r="H457" i="2" s="1"/>
  <c r="I457" i="2" s="1"/>
  <c r="B457" i="2"/>
  <c r="D456" i="2"/>
  <c r="C456" i="2"/>
  <c r="G456" i="2" s="1"/>
  <c r="H456" i="2" s="1"/>
  <c r="I456" i="2" s="1"/>
  <c r="B456" i="2"/>
  <c r="D455" i="2"/>
  <c r="C455" i="2"/>
  <c r="G455" i="2" s="1"/>
  <c r="H455" i="2" s="1"/>
  <c r="I455" i="2" s="1"/>
  <c r="B455" i="2"/>
  <c r="D454" i="2"/>
  <c r="C454" i="2"/>
  <c r="G454" i="2" s="1"/>
  <c r="H454" i="2" s="1"/>
  <c r="I454" i="2" s="1"/>
  <c r="B454" i="2"/>
  <c r="D453" i="2"/>
  <c r="C453" i="2"/>
  <c r="G453" i="2" s="1"/>
  <c r="H453" i="2" s="1"/>
  <c r="I453" i="2" s="1"/>
  <c r="B453" i="2"/>
  <c r="D452" i="2"/>
  <c r="C452" i="2"/>
  <c r="G452" i="2" s="1"/>
  <c r="H452" i="2" s="1"/>
  <c r="I452" i="2" s="1"/>
  <c r="B452" i="2"/>
  <c r="D451" i="2"/>
  <c r="C451" i="2"/>
  <c r="G451" i="2" s="1"/>
  <c r="H451" i="2" s="1"/>
  <c r="I451" i="2" s="1"/>
  <c r="B451" i="2"/>
  <c r="D450" i="2"/>
  <c r="C450" i="2"/>
  <c r="G450" i="2" s="1"/>
  <c r="H450" i="2" s="1"/>
  <c r="I450" i="2" s="1"/>
  <c r="B450" i="2"/>
  <c r="D449" i="2"/>
  <c r="C449" i="2"/>
  <c r="G449" i="2" s="1"/>
  <c r="H449" i="2" s="1"/>
  <c r="I449" i="2" s="1"/>
  <c r="B449" i="2"/>
  <c r="D448" i="2"/>
  <c r="C448" i="2"/>
  <c r="G448" i="2" s="1"/>
  <c r="H448" i="2" s="1"/>
  <c r="I448" i="2" s="1"/>
  <c r="B448" i="2"/>
  <c r="E447" i="2"/>
  <c r="D447" i="2"/>
  <c r="C447" i="2"/>
  <c r="G447" i="2" s="1"/>
  <c r="H447" i="2" s="1"/>
  <c r="I447" i="2" s="1"/>
  <c r="B447" i="2"/>
  <c r="E446" i="2"/>
  <c r="D446" i="2"/>
  <c r="C446" i="2"/>
  <c r="G446" i="2" s="1"/>
  <c r="H446" i="2" s="1"/>
  <c r="I446" i="2" s="1"/>
  <c r="B446" i="2"/>
  <c r="E445" i="2"/>
  <c r="D445" i="2"/>
  <c r="C445" i="2"/>
  <c r="G445" i="2" s="1"/>
  <c r="H445" i="2" s="1"/>
  <c r="I445" i="2" s="1"/>
  <c r="B445" i="2"/>
  <c r="D444" i="2"/>
  <c r="C444" i="2"/>
  <c r="G444" i="2" s="1"/>
  <c r="H444" i="2" s="1"/>
  <c r="I444" i="2" s="1"/>
  <c r="B444" i="2"/>
  <c r="D443" i="2"/>
  <c r="C443" i="2"/>
  <c r="G443" i="2" s="1"/>
  <c r="H443" i="2" s="1"/>
  <c r="I443" i="2" s="1"/>
  <c r="B443" i="2"/>
  <c r="D442" i="2"/>
  <c r="C442" i="2"/>
  <c r="G442" i="2" s="1"/>
  <c r="H442" i="2" s="1"/>
  <c r="I442" i="2" s="1"/>
  <c r="B442" i="2"/>
  <c r="D441" i="2"/>
  <c r="C441" i="2"/>
  <c r="G441" i="2" s="1"/>
  <c r="H441" i="2" s="1"/>
  <c r="I441" i="2" s="1"/>
  <c r="B441" i="2"/>
  <c r="D440" i="2"/>
  <c r="C440" i="2"/>
  <c r="G440" i="2" s="1"/>
  <c r="H440" i="2" s="1"/>
  <c r="I440" i="2" s="1"/>
  <c r="B440" i="2"/>
  <c r="D439" i="2"/>
  <c r="C439" i="2"/>
  <c r="G439" i="2" s="1"/>
  <c r="H439" i="2" s="1"/>
  <c r="I439" i="2" s="1"/>
  <c r="B439" i="2"/>
  <c r="D438" i="2"/>
  <c r="C438" i="2"/>
  <c r="G438" i="2" s="1"/>
  <c r="H438" i="2" s="1"/>
  <c r="I438" i="2" s="1"/>
  <c r="B438" i="2"/>
  <c r="D437" i="2"/>
  <c r="C437" i="2"/>
  <c r="G437" i="2" s="1"/>
  <c r="H437" i="2" s="1"/>
  <c r="I437" i="2" s="1"/>
  <c r="B437" i="2"/>
  <c r="D436" i="2"/>
  <c r="C436" i="2"/>
  <c r="G436" i="2" s="1"/>
  <c r="H436" i="2" s="1"/>
  <c r="I436" i="2" s="1"/>
  <c r="B436" i="2"/>
  <c r="D435" i="2"/>
  <c r="C435" i="2"/>
  <c r="G435" i="2" s="1"/>
  <c r="H435" i="2" s="1"/>
  <c r="I435" i="2" s="1"/>
  <c r="B435" i="2"/>
  <c r="D434" i="2"/>
  <c r="C434" i="2"/>
  <c r="G434" i="2" s="1"/>
  <c r="H434" i="2" s="1"/>
  <c r="I434" i="2" s="1"/>
  <c r="B434" i="2"/>
  <c r="D433" i="2"/>
  <c r="C433" i="2"/>
  <c r="G433" i="2" s="1"/>
  <c r="H433" i="2" s="1"/>
  <c r="I433" i="2" s="1"/>
  <c r="B433" i="2"/>
  <c r="D432" i="2"/>
  <c r="C432" i="2"/>
  <c r="G432" i="2" s="1"/>
  <c r="H432" i="2" s="1"/>
  <c r="I432" i="2" s="1"/>
  <c r="B432" i="2"/>
  <c r="D431" i="2"/>
  <c r="C431" i="2"/>
  <c r="G431" i="2" s="1"/>
  <c r="H431" i="2" s="1"/>
  <c r="I431" i="2" s="1"/>
  <c r="B431" i="2"/>
  <c r="D430" i="2"/>
  <c r="C430" i="2"/>
  <c r="G430" i="2" s="1"/>
  <c r="H430" i="2" s="1"/>
  <c r="I430" i="2" s="1"/>
  <c r="B430" i="2"/>
  <c r="D429" i="2"/>
  <c r="C429" i="2"/>
  <c r="G429" i="2" s="1"/>
  <c r="H429" i="2" s="1"/>
  <c r="I429" i="2" s="1"/>
  <c r="B429" i="2"/>
  <c r="D428" i="2"/>
  <c r="C428" i="2"/>
  <c r="G428" i="2" s="1"/>
  <c r="H428" i="2" s="1"/>
  <c r="I428" i="2" s="1"/>
  <c r="B428" i="2"/>
  <c r="D427" i="2"/>
  <c r="C427" i="2"/>
  <c r="G427" i="2" s="1"/>
  <c r="H427" i="2" s="1"/>
  <c r="I427" i="2" s="1"/>
  <c r="B427" i="2"/>
  <c r="D426" i="2"/>
  <c r="C426" i="2"/>
  <c r="G426" i="2" s="1"/>
  <c r="H426" i="2" s="1"/>
  <c r="I426" i="2" s="1"/>
  <c r="B426" i="2"/>
  <c r="D425" i="2"/>
  <c r="C425" i="2"/>
  <c r="G425" i="2" s="1"/>
  <c r="H425" i="2" s="1"/>
  <c r="I425" i="2" s="1"/>
  <c r="B425" i="2"/>
  <c r="D424" i="2"/>
  <c r="C424" i="2"/>
  <c r="G424" i="2" s="1"/>
  <c r="H424" i="2" s="1"/>
  <c r="I424" i="2" s="1"/>
  <c r="B424" i="2"/>
  <c r="D423" i="2"/>
  <c r="C423" i="2"/>
  <c r="G423" i="2" s="1"/>
  <c r="H423" i="2" s="1"/>
  <c r="I423" i="2" s="1"/>
  <c r="B423" i="2"/>
  <c r="D422" i="2"/>
  <c r="C422" i="2"/>
  <c r="G422" i="2" s="1"/>
  <c r="H422" i="2" s="1"/>
  <c r="I422" i="2" s="1"/>
  <c r="B422" i="2"/>
  <c r="D421" i="2"/>
  <c r="C421" i="2"/>
  <c r="G421" i="2" s="1"/>
  <c r="H421" i="2" s="1"/>
  <c r="I421" i="2" s="1"/>
  <c r="B421" i="2"/>
  <c r="D420" i="2"/>
  <c r="C420" i="2"/>
  <c r="G420" i="2" s="1"/>
  <c r="H420" i="2" s="1"/>
  <c r="I420" i="2" s="1"/>
  <c r="B420" i="2"/>
  <c r="D419" i="2"/>
  <c r="C419" i="2"/>
  <c r="G419" i="2" s="1"/>
  <c r="H419" i="2" s="1"/>
  <c r="I419" i="2" s="1"/>
  <c r="B419" i="2"/>
  <c r="D418" i="2"/>
  <c r="C418" i="2"/>
  <c r="G418" i="2" s="1"/>
  <c r="H418" i="2" s="1"/>
  <c r="I418" i="2" s="1"/>
  <c r="B418" i="2"/>
  <c r="E417" i="2"/>
  <c r="D417" i="2"/>
  <c r="C417" i="2"/>
  <c r="G417" i="2" s="1"/>
  <c r="H417" i="2" s="1"/>
  <c r="I417" i="2" s="1"/>
  <c r="B417" i="2"/>
  <c r="E416" i="2"/>
  <c r="D416" i="2"/>
  <c r="C416" i="2"/>
  <c r="G416" i="2" s="1"/>
  <c r="H416" i="2" s="1"/>
  <c r="I416" i="2" s="1"/>
  <c r="B416" i="2"/>
  <c r="E415" i="2"/>
  <c r="D415" i="2"/>
  <c r="C415" i="2"/>
  <c r="G415" i="2" s="1"/>
  <c r="H415" i="2" s="1"/>
  <c r="I415" i="2" s="1"/>
  <c r="B415" i="2"/>
  <c r="E414" i="2"/>
  <c r="D414" i="2"/>
  <c r="C414" i="2"/>
  <c r="G414" i="2" s="1"/>
  <c r="H414" i="2" s="1"/>
  <c r="I414" i="2" s="1"/>
  <c r="B414" i="2"/>
  <c r="E413" i="2"/>
  <c r="D413" i="2"/>
  <c r="C413" i="2"/>
  <c r="G413" i="2" s="1"/>
  <c r="H413" i="2" s="1"/>
  <c r="I413" i="2" s="1"/>
  <c r="B413" i="2"/>
  <c r="E412" i="2"/>
  <c r="D412" i="2"/>
  <c r="C412" i="2"/>
  <c r="G412" i="2" s="1"/>
  <c r="H412" i="2" s="1"/>
  <c r="I412" i="2" s="1"/>
  <c r="B412" i="2"/>
  <c r="E411" i="2"/>
  <c r="D411" i="2"/>
  <c r="C411" i="2"/>
  <c r="G411" i="2" s="1"/>
  <c r="H411" i="2" s="1"/>
  <c r="I411" i="2" s="1"/>
  <c r="B411" i="2"/>
  <c r="E410" i="2"/>
  <c r="D410" i="2"/>
  <c r="C410" i="2"/>
  <c r="G410" i="2" s="1"/>
  <c r="H410" i="2" s="1"/>
  <c r="I410" i="2" s="1"/>
  <c r="B410" i="2"/>
  <c r="E409" i="2"/>
  <c r="D409" i="2"/>
  <c r="C409" i="2"/>
  <c r="G409" i="2" s="1"/>
  <c r="H409" i="2" s="1"/>
  <c r="I409" i="2" s="1"/>
  <c r="B409" i="2"/>
  <c r="G408" i="2"/>
  <c r="H408" i="2" s="1"/>
  <c r="I408" i="2" s="1"/>
  <c r="E408" i="2"/>
  <c r="D408" i="2"/>
  <c r="C408" i="2"/>
  <c r="B408" i="2"/>
  <c r="E407" i="2"/>
  <c r="D407" i="2"/>
  <c r="C407" i="2"/>
  <c r="G407" i="2" s="1"/>
  <c r="H407" i="2" s="1"/>
  <c r="I407" i="2" s="1"/>
  <c r="B407" i="2"/>
  <c r="D406" i="2"/>
  <c r="C406" i="2"/>
  <c r="G406" i="2" s="1"/>
  <c r="H406" i="2" s="1"/>
  <c r="I406" i="2" s="1"/>
  <c r="B406" i="2"/>
  <c r="D405" i="2"/>
  <c r="C405" i="2"/>
  <c r="G405" i="2" s="1"/>
  <c r="H405" i="2" s="1"/>
  <c r="I405" i="2" s="1"/>
  <c r="B405" i="2"/>
  <c r="D404" i="2"/>
  <c r="C404" i="2"/>
  <c r="G404" i="2" s="1"/>
  <c r="H404" i="2" s="1"/>
  <c r="I404" i="2" s="1"/>
  <c r="B404" i="2"/>
  <c r="D403" i="2"/>
  <c r="C403" i="2"/>
  <c r="G403" i="2" s="1"/>
  <c r="H403" i="2" s="1"/>
  <c r="I403" i="2" s="1"/>
  <c r="B403" i="2"/>
  <c r="D402" i="2"/>
  <c r="C402" i="2"/>
  <c r="G402" i="2" s="1"/>
  <c r="H402" i="2" s="1"/>
  <c r="I402" i="2" s="1"/>
  <c r="B402" i="2"/>
  <c r="D401" i="2"/>
  <c r="C401" i="2"/>
  <c r="G401" i="2" s="1"/>
  <c r="H401" i="2" s="1"/>
  <c r="I401" i="2" s="1"/>
  <c r="B401" i="2"/>
  <c r="D400" i="2"/>
  <c r="C400" i="2"/>
  <c r="G400" i="2" s="1"/>
  <c r="H400" i="2" s="1"/>
  <c r="I400" i="2" s="1"/>
  <c r="B400" i="2"/>
  <c r="D399" i="2"/>
  <c r="C399" i="2"/>
  <c r="G399" i="2" s="1"/>
  <c r="H399" i="2" s="1"/>
  <c r="I399" i="2" s="1"/>
  <c r="B399" i="2"/>
  <c r="D398" i="2"/>
  <c r="C398" i="2"/>
  <c r="G398" i="2" s="1"/>
  <c r="H398" i="2" s="1"/>
  <c r="I398" i="2" s="1"/>
  <c r="B398" i="2"/>
  <c r="D397" i="2"/>
  <c r="C397" i="2"/>
  <c r="G397" i="2" s="1"/>
  <c r="H397" i="2" s="1"/>
  <c r="I397" i="2" s="1"/>
  <c r="B397" i="2"/>
  <c r="D396" i="2"/>
  <c r="C396" i="2"/>
  <c r="G396" i="2" s="1"/>
  <c r="H396" i="2" s="1"/>
  <c r="I396" i="2" s="1"/>
  <c r="B396" i="2"/>
  <c r="D395" i="2"/>
  <c r="C395" i="2"/>
  <c r="G395" i="2" s="1"/>
  <c r="H395" i="2" s="1"/>
  <c r="I395" i="2" s="1"/>
  <c r="B395" i="2"/>
  <c r="D394" i="2"/>
  <c r="C394" i="2"/>
  <c r="G394" i="2" s="1"/>
  <c r="H394" i="2" s="1"/>
  <c r="I394" i="2" s="1"/>
  <c r="B394" i="2"/>
  <c r="D393" i="2"/>
  <c r="C393" i="2"/>
  <c r="G393" i="2" s="1"/>
  <c r="H393" i="2" s="1"/>
  <c r="I393" i="2" s="1"/>
  <c r="B393" i="2"/>
  <c r="D392" i="2"/>
  <c r="C392" i="2"/>
  <c r="G392" i="2" s="1"/>
  <c r="H392" i="2" s="1"/>
  <c r="I392" i="2" s="1"/>
  <c r="B392" i="2"/>
  <c r="D391" i="2"/>
  <c r="C391" i="2"/>
  <c r="G391" i="2" s="1"/>
  <c r="H391" i="2" s="1"/>
  <c r="I391" i="2" s="1"/>
  <c r="B391" i="2"/>
  <c r="D390" i="2"/>
  <c r="C390" i="2"/>
  <c r="G390" i="2" s="1"/>
  <c r="H390" i="2" s="1"/>
  <c r="I390" i="2" s="1"/>
  <c r="B390" i="2"/>
  <c r="D389" i="2"/>
  <c r="C389" i="2"/>
  <c r="G389" i="2" s="1"/>
  <c r="H389" i="2" s="1"/>
  <c r="I389" i="2" s="1"/>
  <c r="B389" i="2"/>
  <c r="D388" i="2"/>
  <c r="C388" i="2"/>
  <c r="G388" i="2" s="1"/>
  <c r="H388" i="2" s="1"/>
  <c r="I388" i="2" s="1"/>
  <c r="B388" i="2"/>
  <c r="D387" i="2"/>
  <c r="C387" i="2"/>
  <c r="G387" i="2" s="1"/>
  <c r="H387" i="2" s="1"/>
  <c r="I387" i="2" s="1"/>
  <c r="B387" i="2"/>
  <c r="D386" i="2"/>
  <c r="C386" i="2"/>
  <c r="G386" i="2" s="1"/>
  <c r="H386" i="2" s="1"/>
  <c r="I386" i="2" s="1"/>
  <c r="B386" i="2"/>
  <c r="D385" i="2"/>
  <c r="C385" i="2"/>
  <c r="G385" i="2" s="1"/>
  <c r="H385" i="2" s="1"/>
  <c r="I385" i="2" s="1"/>
  <c r="B385" i="2"/>
  <c r="D384" i="2"/>
  <c r="C384" i="2"/>
  <c r="G384" i="2" s="1"/>
  <c r="H384" i="2" s="1"/>
  <c r="I384" i="2" s="1"/>
  <c r="B384" i="2"/>
  <c r="D383" i="2"/>
  <c r="C383" i="2"/>
  <c r="G383" i="2" s="1"/>
  <c r="H383" i="2" s="1"/>
  <c r="I383" i="2" s="1"/>
  <c r="B383" i="2"/>
  <c r="D382" i="2"/>
  <c r="C382" i="2"/>
  <c r="G382" i="2" s="1"/>
  <c r="H382" i="2" s="1"/>
  <c r="I382" i="2" s="1"/>
  <c r="B382" i="2"/>
  <c r="D381" i="2"/>
  <c r="C381" i="2"/>
  <c r="G381" i="2" s="1"/>
  <c r="H381" i="2" s="1"/>
  <c r="I381" i="2" s="1"/>
  <c r="B381" i="2"/>
  <c r="D380" i="2"/>
  <c r="C380" i="2"/>
  <c r="G380" i="2" s="1"/>
  <c r="H380" i="2" s="1"/>
  <c r="I380" i="2" s="1"/>
  <c r="B380" i="2"/>
  <c r="D379" i="2"/>
  <c r="C379" i="2"/>
  <c r="G379" i="2" s="1"/>
  <c r="H379" i="2" s="1"/>
  <c r="I379" i="2" s="1"/>
  <c r="B379" i="2"/>
  <c r="D378" i="2"/>
  <c r="C378" i="2"/>
  <c r="G378" i="2" s="1"/>
  <c r="H378" i="2" s="1"/>
  <c r="I378" i="2" s="1"/>
  <c r="B378" i="2"/>
  <c r="D377" i="2"/>
  <c r="C377" i="2"/>
  <c r="G377" i="2" s="1"/>
  <c r="H377" i="2" s="1"/>
  <c r="I377" i="2" s="1"/>
  <c r="B377" i="2"/>
  <c r="D376" i="2"/>
  <c r="C376" i="2"/>
  <c r="G376" i="2" s="1"/>
  <c r="H376" i="2" s="1"/>
  <c r="I376" i="2" s="1"/>
  <c r="B376" i="2"/>
  <c r="D375" i="2"/>
  <c r="C375" i="2"/>
  <c r="G375" i="2" s="1"/>
  <c r="H375" i="2" s="1"/>
  <c r="I375" i="2" s="1"/>
  <c r="B375" i="2"/>
  <c r="D374" i="2"/>
  <c r="C374" i="2"/>
  <c r="G374" i="2" s="1"/>
  <c r="H374" i="2" s="1"/>
  <c r="I374" i="2" s="1"/>
  <c r="B374" i="2"/>
  <c r="D373" i="2"/>
  <c r="C373" i="2"/>
  <c r="G373" i="2" s="1"/>
  <c r="H373" i="2" s="1"/>
  <c r="I373" i="2" s="1"/>
  <c r="B373" i="2"/>
  <c r="D372" i="2"/>
  <c r="C372" i="2"/>
  <c r="G372" i="2" s="1"/>
  <c r="H372" i="2" s="1"/>
  <c r="I372" i="2" s="1"/>
  <c r="B372" i="2"/>
  <c r="D371" i="2"/>
  <c r="C371" i="2"/>
  <c r="G371" i="2" s="1"/>
  <c r="H371" i="2" s="1"/>
  <c r="I371" i="2" s="1"/>
  <c r="B371" i="2"/>
  <c r="D370" i="2"/>
  <c r="C370" i="2"/>
  <c r="G370" i="2" s="1"/>
  <c r="H370" i="2" s="1"/>
  <c r="I370" i="2" s="1"/>
  <c r="B370" i="2"/>
  <c r="D369" i="2"/>
  <c r="C369" i="2"/>
  <c r="G369" i="2" s="1"/>
  <c r="H369" i="2" s="1"/>
  <c r="I369" i="2" s="1"/>
  <c r="B369" i="2"/>
  <c r="D368" i="2"/>
  <c r="C368" i="2"/>
  <c r="G368" i="2" s="1"/>
  <c r="H368" i="2" s="1"/>
  <c r="I368" i="2" s="1"/>
  <c r="B368" i="2"/>
  <c r="D367" i="2"/>
  <c r="C367" i="2"/>
  <c r="G367" i="2" s="1"/>
  <c r="H367" i="2" s="1"/>
  <c r="I367" i="2" s="1"/>
  <c r="B367" i="2"/>
  <c r="D366" i="2"/>
  <c r="C366" i="2"/>
  <c r="G366" i="2" s="1"/>
  <c r="H366" i="2" s="1"/>
  <c r="I366" i="2" s="1"/>
  <c r="B366" i="2"/>
  <c r="D365" i="2"/>
  <c r="C365" i="2"/>
  <c r="G365" i="2" s="1"/>
  <c r="H365" i="2" s="1"/>
  <c r="I365" i="2" s="1"/>
  <c r="B365" i="2"/>
  <c r="D364" i="2"/>
  <c r="C364" i="2"/>
  <c r="G364" i="2" s="1"/>
  <c r="H364" i="2" s="1"/>
  <c r="I364" i="2" s="1"/>
  <c r="B364" i="2"/>
  <c r="D363" i="2"/>
  <c r="C363" i="2"/>
  <c r="G363" i="2" s="1"/>
  <c r="H363" i="2" s="1"/>
  <c r="I363" i="2" s="1"/>
  <c r="B363" i="2"/>
  <c r="D362" i="2"/>
  <c r="C362" i="2"/>
  <c r="G362" i="2" s="1"/>
  <c r="H362" i="2" s="1"/>
  <c r="I362" i="2" s="1"/>
  <c r="B362" i="2"/>
  <c r="D361" i="2"/>
  <c r="C361" i="2"/>
  <c r="G361" i="2" s="1"/>
  <c r="H361" i="2" s="1"/>
  <c r="I361" i="2" s="1"/>
  <c r="B361" i="2"/>
  <c r="E360" i="2"/>
  <c r="D360" i="2"/>
  <c r="C360" i="2"/>
  <c r="G360" i="2" s="1"/>
  <c r="H360" i="2" s="1"/>
  <c r="I360" i="2" s="1"/>
  <c r="B360" i="2"/>
  <c r="E359" i="2"/>
  <c r="D359" i="2"/>
  <c r="C359" i="2"/>
  <c r="G359" i="2" s="1"/>
  <c r="H359" i="2" s="1"/>
  <c r="I359" i="2" s="1"/>
  <c r="B359" i="2"/>
  <c r="D358" i="2"/>
  <c r="C358" i="2"/>
  <c r="G358" i="2" s="1"/>
  <c r="H358" i="2" s="1"/>
  <c r="I358" i="2" s="1"/>
  <c r="B358" i="2"/>
  <c r="D357" i="2"/>
  <c r="C357" i="2"/>
  <c r="G357" i="2" s="1"/>
  <c r="H357" i="2" s="1"/>
  <c r="I357" i="2" s="1"/>
  <c r="B357" i="2"/>
  <c r="D356" i="2"/>
  <c r="C356" i="2"/>
  <c r="G356" i="2" s="1"/>
  <c r="H356" i="2" s="1"/>
  <c r="I356" i="2" s="1"/>
  <c r="B356" i="2"/>
  <c r="D355" i="2"/>
  <c r="C355" i="2"/>
  <c r="G355" i="2" s="1"/>
  <c r="H355" i="2" s="1"/>
  <c r="I355" i="2" s="1"/>
  <c r="B355" i="2"/>
  <c r="D354" i="2"/>
  <c r="C354" i="2"/>
  <c r="G354" i="2" s="1"/>
  <c r="H354" i="2" s="1"/>
  <c r="I354" i="2" s="1"/>
  <c r="B354" i="2"/>
  <c r="D353" i="2"/>
  <c r="C353" i="2"/>
  <c r="G353" i="2" s="1"/>
  <c r="H353" i="2" s="1"/>
  <c r="I353" i="2" s="1"/>
  <c r="B353" i="2"/>
  <c r="D352" i="2"/>
  <c r="C352" i="2"/>
  <c r="G352" i="2" s="1"/>
  <c r="H352" i="2" s="1"/>
  <c r="I352" i="2" s="1"/>
  <c r="B352" i="2"/>
  <c r="D351" i="2"/>
  <c r="C351" i="2"/>
  <c r="G351" i="2" s="1"/>
  <c r="H351" i="2" s="1"/>
  <c r="I351" i="2" s="1"/>
  <c r="B351" i="2"/>
  <c r="D350" i="2"/>
  <c r="C350" i="2"/>
  <c r="G350" i="2" s="1"/>
  <c r="H350" i="2" s="1"/>
  <c r="I350" i="2" s="1"/>
  <c r="B350" i="2"/>
  <c r="D349" i="2"/>
  <c r="C349" i="2"/>
  <c r="G349" i="2" s="1"/>
  <c r="H349" i="2" s="1"/>
  <c r="I349" i="2" s="1"/>
  <c r="B349" i="2"/>
  <c r="D348" i="2"/>
  <c r="C348" i="2"/>
  <c r="G348" i="2" s="1"/>
  <c r="H348" i="2" s="1"/>
  <c r="I348" i="2" s="1"/>
  <c r="B348" i="2"/>
  <c r="E347" i="2"/>
  <c r="D347" i="2"/>
  <c r="C347" i="2"/>
  <c r="G347" i="2" s="1"/>
  <c r="H347" i="2" s="1"/>
  <c r="I347" i="2" s="1"/>
  <c r="B347" i="2"/>
  <c r="E346" i="2"/>
  <c r="D346" i="2"/>
  <c r="C346" i="2"/>
  <c r="G346" i="2" s="1"/>
  <c r="H346" i="2" s="1"/>
  <c r="I346" i="2" s="1"/>
  <c r="B346" i="2"/>
  <c r="D345" i="2"/>
  <c r="C345" i="2"/>
  <c r="G345" i="2" s="1"/>
  <c r="H345" i="2" s="1"/>
  <c r="I345" i="2" s="1"/>
  <c r="B345" i="2"/>
  <c r="D344" i="2"/>
  <c r="C344" i="2"/>
  <c r="G344" i="2" s="1"/>
  <c r="H344" i="2" s="1"/>
  <c r="I344" i="2" s="1"/>
  <c r="B344" i="2"/>
  <c r="D343" i="2"/>
  <c r="C343" i="2"/>
  <c r="G343" i="2" s="1"/>
  <c r="H343" i="2" s="1"/>
  <c r="I343" i="2" s="1"/>
  <c r="B343" i="2"/>
  <c r="D342" i="2"/>
  <c r="C342" i="2"/>
  <c r="G342" i="2" s="1"/>
  <c r="H342" i="2" s="1"/>
  <c r="I342" i="2" s="1"/>
  <c r="B342" i="2"/>
  <c r="D341" i="2"/>
  <c r="C341" i="2"/>
  <c r="G341" i="2" s="1"/>
  <c r="H341" i="2" s="1"/>
  <c r="I341" i="2" s="1"/>
  <c r="B341" i="2"/>
  <c r="D340" i="2"/>
  <c r="C340" i="2"/>
  <c r="G340" i="2" s="1"/>
  <c r="H340" i="2" s="1"/>
  <c r="I340" i="2" s="1"/>
  <c r="B340" i="2"/>
  <c r="D339" i="2"/>
  <c r="C339" i="2"/>
  <c r="G339" i="2" s="1"/>
  <c r="H339" i="2" s="1"/>
  <c r="I339" i="2" s="1"/>
  <c r="B339" i="2"/>
  <c r="D338" i="2"/>
  <c r="C338" i="2"/>
  <c r="G338" i="2" s="1"/>
  <c r="H338" i="2" s="1"/>
  <c r="I338" i="2" s="1"/>
  <c r="B338" i="2"/>
  <c r="D337" i="2"/>
  <c r="C337" i="2"/>
  <c r="G337" i="2" s="1"/>
  <c r="H337" i="2" s="1"/>
  <c r="I337" i="2" s="1"/>
  <c r="B337" i="2"/>
  <c r="D336" i="2"/>
  <c r="C336" i="2"/>
  <c r="G336" i="2" s="1"/>
  <c r="H336" i="2" s="1"/>
  <c r="I336" i="2" s="1"/>
  <c r="B336" i="2"/>
  <c r="D335" i="2"/>
  <c r="C335" i="2"/>
  <c r="G335" i="2" s="1"/>
  <c r="H335" i="2" s="1"/>
  <c r="I335" i="2" s="1"/>
  <c r="B335" i="2"/>
  <c r="D334" i="2"/>
  <c r="C334" i="2"/>
  <c r="G334" i="2" s="1"/>
  <c r="H334" i="2" s="1"/>
  <c r="I334" i="2" s="1"/>
  <c r="B334" i="2"/>
  <c r="D333" i="2"/>
  <c r="C333" i="2"/>
  <c r="G333" i="2" s="1"/>
  <c r="H333" i="2" s="1"/>
  <c r="I333" i="2" s="1"/>
  <c r="B333" i="2"/>
  <c r="D332" i="2"/>
  <c r="C332" i="2"/>
  <c r="G332" i="2" s="1"/>
  <c r="H332" i="2" s="1"/>
  <c r="I332" i="2" s="1"/>
  <c r="B332" i="2"/>
  <c r="E331" i="2"/>
  <c r="D331" i="2"/>
  <c r="C331" i="2"/>
  <c r="G331" i="2" s="1"/>
  <c r="H331" i="2" s="1"/>
  <c r="I331" i="2" s="1"/>
  <c r="B331" i="2"/>
  <c r="E330" i="2"/>
  <c r="D330" i="2"/>
  <c r="C330" i="2"/>
  <c r="G330" i="2" s="1"/>
  <c r="H330" i="2" s="1"/>
  <c r="I330" i="2" s="1"/>
  <c r="B330" i="2"/>
  <c r="E329" i="2"/>
  <c r="D329" i="2"/>
  <c r="C329" i="2"/>
  <c r="G329" i="2" s="1"/>
  <c r="H329" i="2" s="1"/>
  <c r="I329" i="2" s="1"/>
  <c r="B329" i="2"/>
  <c r="E328" i="2"/>
  <c r="D328" i="2"/>
  <c r="C328" i="2"/>
  <c r="G328" i="2" s="1"/>
  <c r="H328" i="2" s="1"/>
  <c r="I328" i="2" s="1"/>
  <c r="B328" i="2"/>
  <c r="D327" i="2"/>
  <c r="C327" i="2"/>
  <c r="G327" i="2" s="1"/>
  <c r="H327" i="2" s="1"/>
  <c r="I327" i="2" s="1"/>
  <c r="B327" i="2"/>
  <c r="E326" i="2"/>
  <c r="D326" i="2"/>
  <c r="C326" i="2"/>
  <c r="G326" i="2" s="1"/>
  <c r="H326" i="2" s="1"/>
  <c r="I326" i="2" s="1"/>
  <c r="B326" i="2"/>
  <c r="E325" i="2"/>
  <c r="D325" i="2"/>
  <c r="C325" i="2"/>
  <c r="G325" i="2" s="1"/>
  <c r="H325" i="2" s="1"/>
  <c r="I325" i="2" s="1"/>
  <c r="B325" i="2"/>
  <c r="E324" i="2"/>
  <c r="D324" i="2"/>
  <c r="C324" i="2"/>
  <c r="G324" i="2" s="1"/>
  <c r="H324" i="2" s="1"/>
  <c r="I324" i="2" s="1"/>
  <c r="B324" i="2"/>
  <c r="E323" i="2"/>
  <c r="D323" i="2"/>
  <c r="C323" i="2"/>
  <c r="G323" i="2" s="1"/>
  <c r="H323" i="2" s="1"/>
  <c r="I323" i="2" s="1"/>
  <c r="B323" i="2"/>
  <c r="E322" i="2"/>
  <c r="D322" i="2"/>
  <c r="C322" i="2"/>
  <c r="G322" i="2" s="1"/>
  <c r="H322" i="2" s="1"/>
  <c r="I322" i="2" s="1"/>
  <c r="B322" i="2"/>
  <c r="D321" i="2"/>
  <c r="C321" i="2"/>
  <c r="G321" i="2" s="1"/>
  <c r="H321" i="2" s="1"/>
  <c r="I321" i="2" s="1"/>
  <c r="B321" i="2"/>
  <c r="E320" i="2"/>
  <c r="D320" i="2"/>
  <c r="C320" i="2"/>
  <c r="G320" i="2" s="1"/>
  <c r="H320" i="2" s="1"/>
  <c r="I320" i="2" s="1"/>
  <c r="B320" i="2"/>
  <c r="E319" i="2"/>
  <c r="D319" i="2"/>
  <c r="C319" i="2"/>
  <c r="G319" i="2" s="1"/>
  <c r="H319" i="2" s="1"/>
  <c r="I319" i="2" s="1"/>
  <c r="B319" i="2"/>
  <c r="E318" i="2"/>
  <c r="D318" i="2"/>
  <c r="C318" i="2"/>
  <c r="G318" i="2" s="1"/>
  <c r="H318" i="2" s="1"/>
  <c r="I318" i="2" s="1"/>
  <c r="B318" i="2"/>
  <c r="E317" i="2"/>
  <c r="D317" i="2"/>
  <c r="C317" i="2"/>
  <c r="G317" i="2" s="1"/>
  <c r="H317" i="2" s="1"/>
  <c r="I317" i="2" s="1"/>
  <c r="B317" i="2"/>
  <c r="D316" i="2"/>
  <c r="C316" i="2"/>
  <c r="G316" i="2" s="1"/>
  <c r="H316" i="2" s="1"/>
  <c r="I316" i="2" s="1"/>
  <c r="B316" i="2"/>
  <c r="D315" i="2"/>
  <c r="C315" i="2"/>
  <c r="G315" i="2" s="1"/>
  <c r="H315" i="2" s="1"/>
  <c r="I315" i="2" s="1"/>
  <c r="B315" i="2"/>
  <c r="D314" i="2"/>
  <c r="C314" i="2"/>
  <c r="G314" i="2" s="1"/>
  <c r="H314" i="2" s="1"/>
  <c r="I314" i="2" s="1"/>
  <c r="B314" i="2"/>
  <c r="D313" i="2"/>
  <c r="C313" i="2"/>
  <c r="G313" i="2" s="1"/>
  <c r="H313" i="2" s="1"/>
  <c r="I313" i="2" s="1"/>
  <c r="B313" i="2"/>
  <c r="D312" i="2"/>
  <c r="C312" i="2"/>
  <c r="G312" i="2" s="1"/>
  <c r="H312" i="2" s="1"/>
  <c r="I312" i="2" s="1"/>
  <c r="B312" i="2"/>
  <c r="D311" i="2"/>
  <c r="C311" i="2"/>
  <c r="G311" i="2" s="1"/>
  <c r="H311" i="2" s="1"/>
  <c r="I311" i="2" s="1"/>
  <c r="B311" i="2"/>
  <c r="D310" i="2"/>
  <c r="C310" i="2"/>
  <c r="G310" i="2" s="1"/>
  <c r="H310" i="2" s="1"/>
  <c r="I310" i="2" s="1"/>
  <c r="B310" i="2"/>
  <c r="D309" i="2"/>
  <c r="C309" i="2"/>
  <c r="G309" i="2" s="1"/>
  <c r="H309" i="2" s="1"/>
  <c r="I309" i="2" s="1"/>
  <c r="B309" i="2"/>
  <c r="D308" i="2"/>
  <c r="C308" i="2"/>
  <c r="G308" i="2" s="1"/>
  <c r="H308" i="2" s="1"/>
  <c r="I308" i="2" s="1"/>
  <c r="B308" i="2"/>
  <c r="D307" i="2"/>
  <c r="C307" i="2"/>
  <c r="G307" i="2" s="1"/>
  <c r="H307" i="2" s="1"/>
  <c r="I307" i="2" s="1"/>
  <c r="B307" i="2"/>
  <c r="D306" i="2"/>
  <c r="C306" i="2"/>
  <c r="G306" i="2" s="1"/>
  <c r="H306" i="2" s="1"/>
  <c r="I306" i="2" s="1"/>
  <c r="B306" i="2"/>
  <c r="D305" i="2"/>
  <c r="C305" i="2"/>
  <c r="G305" i="2" s="1"/>
  <c r="H305" i="2" s="1"/>
  <c r="I305" i="2" s="1"/>
  <c r="B305" i="2"/>
  <c r="D304" i="2"/>
  <c r="C304" i="2"/>
  <c r="G304" i="2" s="1"/>
  <c r="H304" i="2" s="1"/>
  <c r="I304" i="2" s="1"/>
  <c r="B304" i="2"/>
  <c r="D303" i="2"/>
  <c r="C303" i="2"/>
  <c r="G303" i="2" s="1"/>
  <c r="H303" i="2" s="1"/>
  <c r="I303" i="2" s="1"/>
  <c r="B303" i="2"/>
  <c r="D302" i="2"/>
  <c r="C302" i="2"/>
  <c r="G302" i="2" s="1"/>
  <c r="H302" i="2" s="1"/>
  <c r="I302" i="2" s="1"/>
  <c r="B302" i="2"/>
  <c r="D301" i="2"/>
  <c r="C301" i="2"/>
  <c r="G301" i="2" s="1"/>
  <c r="H301" i="2" s="1"/>
  <c r="I301" i="2" s="1"/>
  <c r="B301" i="2"/>
  <c r="D300" i="2"/>
  <c r="C300" i="2"/>
  <c r="G300" i="2" s="1"/>
  <c r="H300" i="2" s="1"/>
  <c r="I300" i="2" s="1"/>
  <c r="B300" i="2"/>
  <c r="D299" i="2"/>
  <c r="C299" i="2"/>
  <c r="G299" i="2" s="1"/>
  <c r="H299" i="2" s="1"/>
  <c r="I299" i="2" s="1"/>
  <c r="B299" i="2"/>
  <c r="D298" i="2"/>
  <c r="C298" i="2"/>
  <c r="G298" i="2" s="1"/>
  <c r="H298" i="2" s="1"/>
  <c r="I298" i="2" s="1"/>
  <c r="B298" i="2"/>
  <c r="D297" i="2"/>
  <c r="C297" i="2"/>
  <c r="G297" i="2" s="1"/>
  <c r="H297" i="2" s="1"/>
  <c r="I297" i="2" s="1"/>
  <c r="B297" i="2"/>
  <c r="D296" i="2"/>
  <c r="C296" i="2"/>
  <c r="G296" i="2" s="1"/>
  <c r="H296" i="2" s="1"/>
  <c r="I296" i="2" s="1"/>
  <c r="B296" i="2"/>
  <c r="D295" i="2"/>
  <c r="C295" i="2"/>
  <c r="G295" i="2" s="1"/>
  <c r="H295" i="2" s="1"/>
  <c r="I295" i="2" s="1"/>
  <c r="B295" i="2"/>
  <c r="D294" i="2"/>
  <c r="C294" i="2"/>
  <c r="G294" i="2" s="1"/>
  <c r="H294" i="2" s="1"/>
  <c r="I294" i="2" s="1"/>
  <c r="B294" i="2"/>
  <c r="D293" i="2"/>
  <c r="C293" i="2"/>
  <c r="G293" i="2" s="1"/>
  <c r="H293" i="2" s="1"/>
  <c r="I293" i="2" s="1"/>
  <c r="B293" i="2"/>
  <c r="D292" i="2"/>
  <c r="C292" i="2"/>
  <c r="G292" i="2" s="1"/>
  <c r="H292" i="2" s="1"/>
  <c r="I292" i="2" s="1"/>
  <c r="B292" i="2"/>
  <c r="D291" i="2"/>
  <c r="C291" i="2"/>
  <c r="G291" i="2" s="1"/>
  <c r="H291" i="2" s="1"/>
  <c r="I291" i="2" s="1"/>
  <c r="B291" i="2"/>
  <c r="D290" i="2"/>
  <c r="C290" i="2"/>
  <c r="G290" i="2" s="1"/>
  <c r="H290" i="2" s="1"/>
  <c r="I290" i="2" s="1"/>
  <c r="B290" i="2"/>
  <c r="D289" i="2"/>
  <c r="C289" i="2"/>
  <c r="G289" i="2" s="1"/>
  <c r="H289" i="2" s="1"/>
  <c r="I289" i="2" s="1"/>
  <c r="B289" i="2"/>
  <c r="D288" i="2"/>
  <c r="C288" i="2"/>
  <c r="G288" i="2" s="1"/>
  <c r="H288" i="2" s="1"/>
  <c r="I288" i="2" s="1"/>
  <c r="B288" i="2"/>
  <c r="D287" i="2"/>
  <c r="C287" i="2"/>
  <c r="G287" i="2" s="1"/>
  <c r="H287" i="2" s="1"/>
  <c r="I287" i="2" s="1"/>
  <c r="B287" i="2"/>
  <c r="D286" i="2"/>
  <c r="C286" i="2"/>
  <c r="G286" i="2" s="1"/>
  <c r="H286" i="2" s="1"/>
  <c r="I286" i="2" s="1"/>
  <c r="B286" i="2"/>
  <c r="D285" i="2"/>
  <c r="C285" i="2"/>
  <c r="G285" i="2" s="1"/>
  <c r="H285" i="2" s="1"/>
  <c r="I285" i="2" s="1"/>
  <c r="B285" i="2"/>
  <c r="D284" i="2"/>
  <c r="C284" i="2"/>
  <c r="G284" i="2" s="1"/>
  <c r="H284" i="2" s="1"/>
  <c r="I284" i="2" s="1"/>
  <c r="B284" i="2"/>
  <c r="D283" i="2"/>
  <c r="C283" i="2"/>
  <c r="G283" i="2" s="1"/>
  <c r="H283" i="2" s="1"/>
  <c r="I283" i="2" s="1"/>
  <c r="B283" i="2"/>
  <c r="D282" i="2"/>
  <c r="C282" i="2"/>
  <c r="G282" i="2" s="1"/>
  <c r="H282" i="2" s="1"/>
  <c r="I282" i="2" s="1"/>
  <c r="B282" i="2"/>
  <c r="D281" i="2"/>
  <c r="C281" i="2"/>
  <c r="G281" i="2" s="1"/>
  <c r="H281" i="2" s="1"/>
  <c r="I281" i="2" s="1"/>
  <c r="B281" i="2"/>
  <c r="D280" i="2"/>
  <c r="C280" i="2"/>
  <c r="G280" i="2" s="1"/>
  <c r="H280" i="2" s="1"/>
  <c r="I280" i="2" s="1"/>
  <c r="B280" i="2"/>
  <c r="D279" i="2"/>
  <c r="C279" i="2"/>
  <c r="G279" i="2" s="1"/>
  <c r="H279" i="2" s="1"/>
  <c r="I279" i="2" s="1"/>
  <c r="B279" i="2"/>
  <c r="D278" i="2"/>
  <c r="C278" i="2"/>
  <c r="G278" i="2" s="1"/>
  <c r="H278" i="2" s="1"/>
  <c r="I278" i="2" s="1"/>
  <c r="B278" i="2"/>
  <c r="D277" i="2"/>
  <c r="C277" i="2"/>
  <c r="G277" i="2" s="1"/>
  <c r="H277" i="2" s="1"/>
  <c r="I277" i="2" s="1"/>
  <c r="B277" i="2"/>
  <c r="D276" i="2"/>
  <c r="C276" i="2"/>
  <c r="G276" i="2" s="1"/>
  <c r="H276" i="2" s="1"/>
  <c r="I276" i="2" s="1"/>
  <c r="B276" i="2"/>
  <c r="D275" i="2"/>
  <c r="C275" i="2"/>
  <c r="G275" i="2" s="1"/>
  <c r="H275" i="2" s="1"/>
  <c r="I275" i="2" s="1"/>
  <c r="B275" i="2"/>
  <c r="D274" i="2"/>
  <c r="C274" i="2"/>
  <c r="G274" i="2" s="1"/>
  <c r="H274" i="2" s="1"/>
  <c r="I274" i="2" s="1"/>
  <c r="B274" i="2"/>
  <c r="D273" i="2"/>
  <c r="C273" i="2"/>
  <c r="G273" i="2" s="1"/>
  <c r="H273" i="2" s="1"/>
  <c r="I273" i="2" s="1"/>
  <c r="B273" i="2"/>
  <c r="D272" i="2"/>
  <c r="C272" i="2"/>
  <c r="G272" i="2" s="1"/>
  <c r="H272" i="2" s="1"/>
  <c r="I272" i="2" s="1"/>
  <c r="B272" i="2"/>
  <c r="D271" i="2"/>
  <c r="C271" i="2"/>
  <c r="G271" i="2" s="1"/>
  <c r="H271" i="2" s="1"/>
  <c r="I271" i="2" s="1"/>
  <c r="B271" i="2"/>
  <c r="D270" i="2"/>
  <c r="C270" i="2"/>
  <c r="G270" i="2" s="1"/>
  <c r="H270" i="2" s="1"/>
  <c r="I270" i="2" s="1"/>
  <c r="B270" i="2"/>
  <c r="D269" i="2"/>
  <c r="C269" i="2"/>
  <c r="G269" i="2" s="1"/>
  <c r="H269" i="2" s="1"/>
  <c r="I269" i="2" s="1"/>
  <c r="B269" i="2"/>
  <c r="D268" i="2"/>
  <c r="C268" i="2"/>
  <c r="G268" i="2" s="1"/>
  <c r="H268" i="2" s="1"/>
  <c r="I268" i="2" s="1"/>
  <c r="B268" i="2"/>
  <c r="D267" i="2"/>
  <c r="C267" i="2"/>
  <c r="G267" i="2" s="1"/>
  <c r="H267" i="2" s="1"/>
  <c r="I267" i="2" s="1"/>
  <c r="B267" i="2"/>
  <c r="D266" i="2"/>
  <c r="C266" i="2"/>
  <c r="G266" i="2" s="1"/>
  <c r="H266" i="2" s="1"/>
  <c r="I266" i="2" s="1"/>
  <c r="B266" i="2"/>
  <c r="D265" i="2"/>
  <c r="C265" i="2"/>
  <c r="G265" i="2" s="1"/>
  <c r="H265" i="2" s="1"/>
  <c r="I265" i="2" s="1"/>
  <c r="B265" i="2"/>
  <c r="D264" i="2"/>
  <c r="C264" i="2"/>
  <c r="G264" i="2" s="1"/>
  <c r="H264" i="2" s="1"/>
  <c r="I264" i="2" s="1"/>
  <c r="B264" i="2"/>
  <c r="D263" i="2"/>
  <c r="C263" i="2"/>
  <c r="G263" i="2" s="1"/>
  <c r="H263" i="2" s="1"/>
  <c r="I263" i="2" s="1"/>
  <c r="B263" i="2"/>
  <c r="D262" i="2"/>
  <c r="C262" i="2"/>
  <c r="G262" i="2" s="1"/>
  <c r="H262" i="2" s="1"/>
  <c r="I262" i="2" s="1"/>
  <c r="B262" i="2"/>
  <c r="D261" i="2"/>
  <c r="C261" i="2"/>
  <c r="G261" i="2" s="1"/>
  <c r="H261" i="2" s="1"/>
  <c r="I261" i="2" s="1"/>
  <c r="B261" i="2"/>
  <c r="D260" i="2"/>
  <c r="C260" i="2"/>
  <c r="G260" i="2" s="1"/>
  <c r="H260" i="2" s="1"/>
  <c r="I260" i="2" s="1"/>
  <c r="B260" i="2"/>
  <c r="D259" i="2"/>
  <c r="C259" i="2"/>
  <c r="G259" i="2" s="1"/>
  <c r="H259" i="2" s="1"/>
  <c r="I259" i="2" s="1"/>
  <c r="B259" i="2"/>
  <c r="D258" i="2"/>
  <c r="C258" i="2"/>
  <c r="G258" i="2" s="1"/>
  <c r="H258" i="2" s="1"/>
  <c r="I258" i="2" s="1"/>
  <c r="B258" i="2"/>
  <c r="D257" i="2"/>
  <c r="C257" i="2"/>
  <c r="G257" i="2" s="1"/>
  <c r="H257" i="2" s="1"/>
  <c r="I257" i="2" s="1"/>
  <c r="B257" i="2"/>
  <c r="D256" i="2"/>
  <c r="C256" i="2"/>
  <c r="G256" i="2" s="1"/>
  <c r="H256" i="2" s="1"/>
  <c r="I256" i="2" s="1"/>
  <c r="B256" i="2"/>
  <c r="E255" i="2"/>
  <c r="D255" i="2"/>
  <c r="C255" i="2"/>
  <c r="G255" i="2" s="1"/>
  <c r="H255" i="2" s="1"/>
  <c r="I255" i="2" s="1"/>
  <c r="B255" i="2"/>
  <c r="E254" i="2"/>
  <c r="D254" i="2"/>
  <c r="C254" i="2"/>
  <c r="G254" i="2" s="1"/>
  <c r="H254" i="2" s="1"/>
  <c r="I254" i="2" s="1"/>
  <c r="B254" i="2"/>
  <c r="E253" i="2"/>
  <c r="D253" i="2"/>
  <c r="C253" i="2"/>
  <c r="G253" i="2" s="1"/>
  <c r="H253" i="2" s="1"/>
  <c r="I253" i="2" s="1"/>
  <c r="B253" i="2"/>
  <c r="E252" i="2"/>
  <c r="D252" i="2"/>
  <c r="C252" i="2"/>
  <c r="G252" i="2" s="1"/>
  <c r="H252" i="2" s="1"/>
  <c r="I252" i="2" s="1"/>
  <c r="B252" i="2"/>
  <c r="E251" i="2"/>
  <c r="D251" i="2"/>
  <c r="C251" i="2"/>
  <c r="G251" i="2" s="1"/>
  <c r="H251" i="2" s="1"/>
  <c r="I251" i="2" s="1"/>
  <c r="B251" i="2"/>
  <c r="E250" i="2"/>
  <c r="D250" i="2"/>
  <c r="C250" i="2"/>
  <c r="G250" i="2" s="1"/>
  <c r="H250" i="2" s="1"/>
  <c r="I250" i="2" s="1"/>
  <c r="B250" i="2"/>
  <c r="G249" i="2"/>
  <c r="H249" i="2" s="1"/>
  <c r="I249" i="2" s="1"/>
  <c r="E249" i="2"/>
  <c r="D249" i="2"/>
  <c r="C249" i="2"/>
  <c r="B249" i="2"/>
  <c r="E248" i="2"/>
  <c r="D248" i="2"/>
  <c r="C248" i="2"/>
  <c r="G248" i="2" s="1"/>
  <c r="H248" i="2" s="1"/>
  <c r="I248" i="2" s="1"/>
  <c r="B248" i="2"/>
  <c r="E247" i="2"/>
  <c r="D247" i="2"/>
  <c r="C247" i="2"/>
  <c r="G247" i="2" s="1"/>
  <c r="H247" i="2" s="1"/>
  <c r="I247" i="2" s="1"/>
  <c r="B247" i="2"/>
  <c r="E246" i="2"/>
  <c r="D246" i="2"/>
  <c r="C246" i="2"/>
  <c r="G246" i="2" s="1"/>
  <c r="H246" i="2" s="1"/>
  <c r="I246" i="2" s="1"/>
  <c r="B246" i="2"/>
  <c r="E245" i="2"/>
  <c r="D245" i="2"/>
  <c r="C245" i="2"/>
  <c r="G245" i="2" s="1"/>
  <c r="H245" i="2" s="1"/>
  <c r="I245" i="2" s="1"/>
  <c r="B245" i="2"/>
  <c r="E244" i="2"/>
  <c r="D244" i="2"/>
  <c r="C244" i="2"/>
  <c r="G244" i="2" s="1"/>
  <c r="H244" i="2" s="1"/>
  <c r="I244" i="2" s="1"/>
  <c r="B244" i="2"/>
  <c r="E243" i="2"/>
  <c r="D243" i="2"/>
  <c r="C243" i="2"/>
  <c r="G243" i="2" s="1"/>
  <c r="H243" i="2" s="1"/>
  <c r="I243" i="2" s="1"/>
  <c r="B243" i="2"/>
  <c r="E242" i="2"/>
  <c r="D242" i="2"/>
  <c r="C242" i="2"/>
  <c r="G242" i="2" s="1"/>
  <c r="H242" i="2" s="1"/>
  <c r="I242" i="2" s="1"/>
  <c r="B242" i="2"/>
  <c r="E241" i="2"/>
  <c r="D241" i="2"/>
  <c r="C241" i="2"/>
  <c r="G241" i="2" s="1"/>
  <c r="H241" i="2" s="1"/>
  <c r="I241" i="2" s="1"/>
  <c r="B241" i="2"/>
  <c r="D240" i="2"/>
  <c r="C240" i="2"/>
  <c r="G240" i="2" s="1"/>
  <c r="H240" i="2" s="1"/>
  <c r="I240" i="2" s="1"/>
  <c r="B240" i="2"/>
  <c r="D239" i="2"/>
  <c r="C239" i="2"/>
  <c r="G239" i="2" s="1"/>
  <c r="H239" i="2" s="1"/>
  <c r="I239" i="2" s="1"/>
  <c r="B239" i="2"/>
  <c r="D238" i="2"/>
  <c r="C238" i="2"/>
  <c r="G238" i="2" s="1"/>
  <c r="H238" i="2" s="1"/>
  <c r="I238" i="2" s="1"/>
  <c r="B238" i="2"/>
  <c r="D237" i="2"/>
  <c r="C237" i="2"/>
  <c r="G237" i="2" s="1"/>
  <c r="H237" i="2" s="1"/>
  <c r="I237" i="2" s="1"/>
  <c r="B237" i="2"/>
  <c r="D236" i="2"/>
  <c r="C236" i="2"/>
  <c r="G236" i="2" s="1"/>
  <c r="H236" i="2" s="1"/>
  <c r="I236" i="2" s="1"/>
  <c r="B236" i="2"/>
  <c r="D235" i="2"/>
  <c r="C235" i="2"/>
  <c r="G235" i="2" s="1"/>
  <c r="H235" i="2" s="1"/>
  <c r="I235" i="2" s="1"/>
  <c r="B235" i="2"/>
  <c r="D234" i="2"/>
  <c r="C234" i="2"/>
  <c r="G234" i="2" s="1"/>
  <c r="H234" i="2" s="1"/>
  <c r="I234" i="2" s="1"/>
  <c r="B234" i="2"/>
  <c r="D233" i="2"/>
  <c r="C233" i="2"/>
  <c r="G233" i="2" s="1"/>
  <c r="H233" i="2" s="1"/>
  <c r="I233" i="2" s="1"/>
  <c r="B233" i="2"/>
  <c r="D232" i="2"/>
  <c r="C232" i="2"/>
  <c r="G232" i="2" s="1"/>
  <c r="H232" i="2" s="1"/>
  <c r="I232" i="2" s="1"/>
  <c r="B232" i="2"/>
  <c r="D231" i="2"/>
  <c r="C231" i="2"/>
  <c r="G231" i="2" s="1"/>
  <c r="H231" i="2" s="1"/>
  <c r="I231" i="2" s="1"/>
  <c r="B231" i="2"/>
  <c r="D230" i="2"/>
  <c r="C230" i="2"/>
  <c r="G230" i="2" s="1"/>
  <c r="H230" i="2" s="1"/>
  <c r="I230" i="2" s="1"/>
  <c r="B230" i="2"/>
  <c r="D229" i="2"/>
  <c r="C229" i="2"/>
  <c r="G229" i="2" s="1"/>
  <c r="H229" i="2" s="1"/>
  <c r="I229" i="2" s="1"/>
  <c r="B229" i="2"/>
  <c r="D228" i="2"/>
  <c r="C228" i="2"/>
  <c r="G228" i="2" s="1"/>
  <c r="H228" i="2" s="1"/>
  <c r="I228" i="2" s="1"/>
  <c r="B228" i="2"/>
  <c r="D227" i="2"/>
  <c r="C227" i="2"/>
  <c r="G227" i="2" s="1"/>
  <c r="H227" i="2" s="1"/>
  <c r="I227" i="2" s="1"/>
  <c r="B227" i="2"/>
  <c r="D226" i="2"/>
  <c r="C226" i="2"/>
  <c r="G226" i="2" s="1"/>
  <c r="H226" i="2" s="1"/>
  <c r="I226" i="2" s="1"/>
  <c r="B226" i="2"/>
  <c r="D225" i="2"/>
  <c r="C225" i="2"/>
  <c r="G225" i="2" s="1"/>
  <c r="H225" i="2" s="1"/>
  <c r="I225" i="2" s="1"/>
  <c r="B225" i="2"/>
  <c r="D224" i="2"/>
  <c r="C224" i="2"/>
  <c r="G224" i="2" s="1"/>
  <c r="H224" i="2" s="1"/>
  <c r="I224" i="2" s="1"/>
  <c r="B224" i="2"/>
  <c r="D223" i="2"/>
  <c r="C223" i="2"/>
  <c r="G223" i="2" s="1"/>
  <c r="H223" i="2" s="1"/>
  <c r="I223" i="2" s="1"/>
  <c r="B223" i="2"/>
  <c r="D222" i="2"/>
  <c r="C222" i="2"/>
  <c r="G222" i="2" s="1"/>
  <c r="H222" i="2" s="1"/>
  <c r="I222" i="2" s="1"/>
  <c r="B222" i="2"/>
  <c r="D221" i="2"/>
  <c r="C221" i="2"/>
  <c r="G221" i="2" s="1"/>
  <c r="H221" i="2" s="1"/>
  <c r="I221" i="2" s="1"/>
  <c r="B221" i="2"/>
  <c r="D220" i="2"/>
  <c r="C220" i="2"/>
  <c r="G220" i="2" s="1"/>
  <c r="H220" i="2" s="1"/>
  <c r="I220" i="2" s="1"/>
  <c r="B220" i="2"/>
  <c r="D219" i="2"/>
  <c r="C219" i="2"/>
  <c r="G219" i="2" s="1"/>
  <c r="H219" i="2" s="1"/>
  <c r="I219" i="2" s="1"/>
  <c r="B219" i="2"/>
  <c r="D218" i="2"/>
  <c r="C218" i="2"/>
  <c r="G218" i="2" s="1"/>
  <c r="H218" i="2" s="1"/>
  <c r="I218" i="2" s="1"/>
  <c r="B218" i="2"/>
  <c r="D217" i="2"/>
  <c r="C217" i="2"/>
  <c r="G217" i="2" s="1"/>
  <c r="H217" i="2" s="1"/>
  <c r="I217" i="2" s="1"/>
  <c r="B217" i="2"/>
  <c r="D216" i="2"/>
  <c r="C216" i="2"/>
  <c r="G216" i="2" s="1"/>
  <c r="H216" i="2" s="1"/>
  <c r="I216" i="2" s="1"/>
  <c r="B216" i="2"/>
  <c r="D215" i="2"/>
  <c r="C215" i="2"/>
  <c r="G215" i="2" s="1"/>
  <c r="H215" i="2" s="1"/>
  <c r="I215" i="2" s="1"/>
  <c r="B215" i="2"/>
  <c r="D214" i="2"/>
  <c r="C214" i="2"/>
  <c r="G214" i="2" s="1"/>
  <c r="H214" i="2" s="1"/>
  <c r="I214" i="2" s="1"/>
  <c r="B214" i="2"/>
  <c r="D213" i="2"/>
  <c r="C213" i="2"/>
  <c r="G213" i="2" s="1"/>
  <c r="H213" i="2" s="1"/>
  <c r="I213" i="2" s="1"/>
  <c r="B213" i="2"/>
  <c r="D212" i="2"/>
  <c r="C212" i="2"/>
  <c r="G212" i="2" s="1"/>
  <c r="H212" i="2" s="1"/>
  <c r="I212" i="2" s="1"/>
  <c r="B212" i="2"/>
  <c r="D211" i="2"/>
  <c r="C211" i="2"/>
  <c r="G211" i="2" s="1"/>
  <c r="H211" i="2" s="1"/>
  <c r="I211" i="2" s="1"/>
  <c r="B211" i="2"/>
  <c r="D210" i="2"/>
  <c r="C210" i="2"/>
  <c r="G210" i="2" s="1"/>
  <c r="H210" i="2" s="1"/>
  <c r="I210" i="2" s="1"/>
  <c r="B210" i="2"/>
  <c r="D209" i="2"/>
  <c r="C209" i="2"/>
  <c r="G209" i="2" s="1"/>
  <c r="H209" i="2" s="1"/>
  <c r="I209" i="2" s="1"/>
  <c r="B209" i="2"/>
  <c r="D208" i="2"/>
  <c r="C208" i="2"/>
  <c r="G208" i="2" s="1"/>
  <c r="H208" i="2" s="1"/>
  <c r="I208" i="2" s="1"/>
  <c r="B208" i="2"/>
  <c r="D207" i="2"/>
  <c r="C207" i="2"/>
  <c r="G207" i="2" s="1"/>
  <c r="H207" i="2" s="1"/>
  <c r="I207" i="2" s="1"/>
  <c r="B207" i="2"/>
  <c r="D206" i="2"/>
  <c r="C206" i="2"/>
  <c r="G206" i="2" s="1"/>
  <c r="H206" i="2" s="1"/>
  <c r="I206" i="2" s="1"/>
  <c r="B206" i="2"/>
  <c r="D205" i="2"/>
  <c r="C205" i="2"/>
  <c r="G205" i="2" s="1"/>
  <c r="H205" i="2" s="1"/>
  <c r="I205" i="2" s="1"/>
  <c r="B205" i="2"/>
  <c r="D204" i="2"/>
  <c r="C204" i="2"/>
  <c r="G204" i="2" s="1"/>
  <c r="H204" i="2" s="1"/>
  <c r="I204" i="2" s="1"/>
  <c r="B204" i="2"/>
  <c r="G203" i="2"/>
  <c r="H203" i="2" s="1"/>
  <c r="I203" i="2" s="1"/>
  <c r="D203" i="2"/>
  <c r="C203" i="2"/>
  <c r="B203" i="2"/>
  <c r="D202" i="2"/>
  <c r="C202" i="2"/>
  <c r="G202" i="2" s="1"/>
  <c r="H202" i="2" s="1"/>
  <c r="I202" i="2" s="1"/>
  <c r="B202" i="2"/>
  <c r="D201" i="2"/>
  <c r="C201" i="2"/>
  <c r="G201" i="2" s="1"/>
  <c r="H201" i="2" s="1"/>
  <c r="I201" i="2" s="1"/>
  <c r="B201" i="2"/>
  <c r="D200" i="2"/>
  <c r="C200" i="2"/>
  <c r="G200" i="2" s="1"/>
  <c r="H200" i="2" s="1"/>
  <c r="I200" i="2" s="1"/>
  <c r="B200" i="2"/>
  <c r="D199" i="2"/>
  <c r="C199" i="2"/>
  <c r="G199" i="2" s="1"/>
  <c r="H199" i="2" s="1"/>
  <c r="I199" i="2" s="1"/>
  <c r="B199" i="2"/>
  <c r="D198" i="2"/>
  <c r="C198" i="2"/>
  <c r="G198" i="2" s="1"/>
  <c r="H198" i="2" s="1"/>
  <c r="I198" i="2" s="1"/>
  <c r="B198" i="2"/>
  <c r="D197" i="2"/>
  <c r="C197" i="2"/>
  <c r="G197" i="2" s="1"/>
  <c r="H197" i="2" s="1"/>
  <c r="I197" i="2" s="1"/>
  <c r="B197" i="2"/>
  <c r="D196" i="2"/>
  <c r="C196" i="2"/>
  <c r="G196" i="2" s="1"/>
  <c r="H196" i="2" s="1"/>
  <c r="I196" i="2" s="1"/>
  <c r="B196" i="2"/>
  <c r="D195" i="2"/>
  <c r="C195" i="2"/>
  <c r="G195" i="2" s="1"/>
  <c r="H195" i="2" s="1"/>
  <c r="I195" i="2" s="1"/>
  <c r="B195" i="2"/>
  <c r="E194" i="2"/>
  <c r="D194" i="2"/>
  <c r="C194" i="2"/>
  <c r="G194" i="2" s="1"/>
  <c r="H194" i="2" s="1"/>
  <c r="I194" i="2" s="1"/>
  <c r="B194" i="2"/>
  <c r="D193" i="2"/>
  <c r="C193" i="2"/>
  <c r="G193" i="2" s="1"/>
  <c r="H193" i="2" s="1"/>
  <c r="I193" i="2" s="1"/>
  <c r="B193" i="2"/>
  <c r="D192" i="2"/>
  <c r="C192" i="2"/>
  <c r="G192" i="2" s="1"/>
  <c r="H192" i="2" s="1"/>
  <c r="I192" i="2" s="1"/>
  <c r="B192" i="2"/>
  <c r="D191" i="2"/>
  <c r="C191" i="2"/>
  <c r="G191" i="2" s="1"/>
  <c r="H191" i="2" s="1"/>
  <c r="I191" i="2" s="1"/>
  <c r="B191" i="2"/>
  <c r="D190" i="2"/>
  <c r="C190" i="2"/>
  <c r="G190" i="2" s="1"/>
  <c r="H190" i="2" s="1"/>
  <c r="I190" i="2" s="1"/>
  <c r="B190" i="2"/>
  <c r="D189" i="2"/>
  <c r="C189" i="2"/>
  <c r="G189" i="2" s="1"/>
  <c r="H189" i="2" s="1"/>
  <c r="I189" i="2" s="1"/>
  <c r="B189" i="2"/>
  <c r="D188" i="2"/>
  <c r="C188" i="2"/>
  <c r="G188" i="2" s="1"/>
  <c r="H188" i="2" s="1"/>
  <c r="I188" i="2" s="1"/>
  <c r="B188" i="2"/>
  <c r="D187" i="2"/>
  <c r="C187" i="2"/>
  <c r="G187" i="2" s="1"/>
  <c r="H187" i="2" s="1"/>
  <c r="I187" i="2" s="1"/>
  <c r="B187" i="2"/>
  <c r="D186" i="2"/>
  <c r="C186" i="2"/>
  <c r="G186" i="2" s="1"/>
  <c r="H186" i="2" s="1"/>
  <c r="I186" i="2" s="1"/>
  <c r="B186" i="2"/>
  <c r="D185" i="2"/>
  <c r="C185" i="2"/>
  <c r="G185" i="2" s="1"/>
  <c r="H185" i="2" s="1"/>
  <c r="I185" i="2" s="1"/>
  <c r="B185" i="2"/>
  <c r="D184" i="2"/>
  <c r="C184" i="2"/>
  <c r="G184" i="2" s="1"/>
  <c r="H184" i="2" s="1"/>
  <c r="I184" i="2" s="1"/>
  <c r="B184" i="2"/>
  <c r="D183" i="2"/>
  <c r="C183" i="2"/>
  <c r="G183" i="2" s="1"/>
  <c r="H183" i="2" s="1"/>
  <c r="I183" i="2" s="1"/>
  <c r="B183" i="2"/>
  <c r="D182" i="2"/>
  <c r="C182" i="2"/>
  <c r="G182" i="2" s="1"/>
  <c r="H182" i="2" s="1"/>
  <c r="I182" i="2" s="1"/>
  <c r="B182" i="2"/>
  <c r="D181" i="2"/>
  <c r="C181" i="2"/>
  <c r="G181" i="2" s="1"/>
  <c r="H181" i="2" s="1"/>
  <c r="I181" i="2" s="1"/>
  <c r="B181" i="2"/>
  <c r="D180" i="2"/>
  <c r="C180" i="2"/>
  <c r="G180" i="2" s="1"/>
  <c r="H180" i="2" s="1"/>
  <c r="I180" i="2" s="1"/>
  <c r="B180" i="2"/>
  <c r="D179" i="2"/>
  <c r="C179" i="2"/>
  <c r="G179" i="2" s="1"/>
  <c r="H179" i="2" s="1"/>
  <c r="I179" i="2" s="1"/>
  <c r="B179" i="2"/>
  <c r="D178" i="2"/>
  <c r="C178" i="2"/>
  <c r="G178" i="2" s="1"/>
  <c r="H178" i="2" s="1"/>
  <c r="I178" i="2" s="1"/>
  <c r="B178" i="2"/>
  <c r="D177" i="2"/>
  <c r="C177" i="2"/>
  <c r="G177" i="2" s="1"/>
  <c r="H177" i="2" s="1"/>
  <c r="I177" i="2" s="1"/>
  <c r="B177" i="2"/>
  <c r="D176" i="2"/>
  <c r="C176" i="2"/>
  <c r="G176" i="2" s="1"/>
  <c r="H176" i="2" s="1"/>
  <c r="I176" i="2" s="1"/>
  <c r="B176" i="2"/>
  <c r="D175" i="2"/>
  <c r="C175" i="2"/>
  <c r="G175" i="2" s="1"/>
  <c r="H175" i="2" s="1"/>
  <c r="I175" i="2" s="1"/>
  <c r="B175" i="2"/>
  <c r="D174" i="2"/>
  <c r="C174" i="2"/>
  <c r="G174" i="2" s="1"/>
  <c r="H174" i="2" s="1"/>
  <c r="I174" i="2" s="1"/>
  <c r="B174" i="2"/>
  <c r="D173" i="2"/>
  <c r="C173" i="2"/>
  <c r="G173" i="2" s="1"/>
  <c r="H173" i="2" s="1"/>
  <c r="I173" i="2" s="1"/>
  <c r="B173" i="2"/>
  <c r="D172" i="2"/>
  <c r="C172" i="2"/>
  <c r="G172" i="2" s="1"/>
  <c r="H172" i="2" s="1"/>
  <c r="I172" i="2" s="1"/>
  <c r="B172" i="2"/>
  <c r="D171" i="2"/>
  <c r="C171" i="2"/>
  <c r="G171" i="2" s="1"/>
  <c r="H171" i="2" s="1"/>
  <c r="I171" i="2" s="1"/>
  <c r="B171" i="2"/>
  <c r="D170" i="2"/>
  <c r="C170" i="2"/>
  <c r="G170" i="2" s="1"/>
  <c r="H170" i="2" s="1"/>
  <c r="I170" i="2" s="1"/>
  <c r="B170" i="2"/>
  <c r="D169" i="2"/>
  <c r="C169" i="2"/>
  <c r="G169" i="2" s="1"/>
  <c r="H169" i="2" s="1"/>
  <c r="I169" i="2" s="1"/>
  <c r="B169" i="2"/>
  <c r="D168" i="2"/>
  <c r="C168" i="2"/>
  <c r="G168" i="2" s="1"/>
  <c r="H168" i="2" s="1"/>
  <c r="I168" i="2" s="1"/>
  <c r="B168" i="2"/>
  <c r="D167" i="2"/>
  <c r="C167" i="2"/>
  <c r="G167" i="2" s="1"/>
  <c r="H167" i="2" s="1"/>
  <c r="I167" i="2" s="1"/>
  <c r="B167" i="2"/>
  <c r="D166" i="2"/>
  <c r="C166" i="2"/>
  <c r="G166" i="2" s="1"/>
  <c r="H166" i="2" s="1"/>
  <c r="I166" i="2" s="1"/>
  <c r="B166" i="2"/>
  <c r="D165" i="2"/>
  <c r="C165" i="2"/>
  <c r="G165" i="2" s="1"/>
  <c r="H165" i="2" s="1"/>
  <c r="I165" i="2" s="1"/>
  <c r="B165" i="2"/>
  <c r="D164" i="2"/>
  <c r="C164" i="2"/>
  <c r="G164" i="2" s="1"/>
  <c r="H164" i="2" s="1"/>
  <c r="I164" i="2" s="1"/>
  <c r="B164" i="2"/>
  <c r="D163" i="2"/>
  <c r="C163" i="2"/>
  <c r="G163" i="2" s="1"/>
  <c r="H163" i="2" s="1"/>
  <c r="I163" i="2" s="1"/>
  <c r="B163" i="2"/>
  <c r="D162" i="2"/>
  <c r="C162" i="2"/>
  <c r="G162" i="2" s="1"/>
  <c r="H162" i="2" s="1"/>
  <c r="I162" i="2" s="1"/>
  <c r="B162" i="2"/>
  <c r="D161" i="2"/>
  <c r="C161" i="2"/>
  <c r="G161" i="2" s="1"/>
  <c r="H161" i="2" s="1"/>
  <c r="I161" i="2" s="1"/>
  <c r="B161" i="2"/>
  <c r="D160" i="2"/>
  <c r="C160" i="2"/>
  <c r="G160" i="2" s="1"/>
  <c r="H160" i="2" s="1"/>
  <c r="I160" i="2" s="1"/>
  <c r="B160" i="2"/>
  <c r="D159" i="2"/>
  <c r="C159" i="2"/>
  <c r="G159" i="2" s="1"/>
  <c r="H159" i="2" s="1"/>
  <c r="I159" i="2" s="1"/>
  <c r="B159" i="2"/>
  <c r="D158" i="2"/>
  <c r="C158" i="2"/>
  <c r="G158" i="2" s="1"/>
  <c r="H158" i="2" s="1"/>
  <c r="I158" i="2" s="1"/>
  <c r="B158" i="2"/>
  <c r="D157" i="2"/>
  <c r="C157" i="2"/>
  <c r="G157" i="2" s="1"/>
  <c r="H157" i="2" s="1"/>
  <c r="I157" i="2" s="1"/>
  <c r="B157" i="2"/>
  <c r="D156" i="2"/>
  <c r="C156" i="2"/>
  <c r="G156" i="2" s="1"/>
  <c r="H156" i="2" s="1"/>
  <c r="I156" i="2" s="1"/>
  <c r="B156" i="2"/>
  <c r="D155" i="2"/>
  <c r="C155" i="2"/>
  <c r="G155" i="2" s="1"/>
  <c r="H155" i="2" s="1"/>
  <c r="I155" i="2" s="1"/>
  <c r="B155" i="2"/>
  <c r="E154" i="2"/>
  <c r="D154" i="2"/>
  <c r="C154" i="2"/>
  <c r="G154" i="2" s="1"/>
  <c r="H154" i="2" s="1"/>
  <c r="I154" i="2" s="1"/>
  <c r="B154" i="2"/>
  <c r="D153" i="2"/>
  <c r="C153" i="2"/>
  <c r="G153" i="2" s="1"/>
  <c r="H153" i="2" s="1"/>
  <c r="I153" i="2" s="1"/>
  <c r="B153" i="2"/>
  <c r="D152" i="2"/>
  <c r="C152" i="2"/>
  <c r="G152" i="2" s="1"/>
  <c r="H152" i="2" s="1"/>
  <c r="I152" i="2" s="1"/>
  <c r="B152" i="2"/>
  <c r="D151" i="2"/>
  <c r="C151" i="2"/>
  <c r="G151" i="2" s="1"/>
  <c r="H151" i="2" s="1"/>
  <c r="I151" i="2" s="1"/>
  <c r="B151" i="2"/>
  <c r="D150" i="2"/>
  <c r="C150" i="2"/>
  <c r="G150" i="2" s="1"/>
  <c r="H150" i="2" s="1"/>
  <c r="I150" i="2" s="1"/>
  <c r="B150" i="2"/>
  <c r="D149" i="2"/>
  <c r="C149" i="2"/>
  <c r="G149" i="2" s="1"/>
  <c r="H149" i="2" s="1"/>
  <c r="I149" i="2" s="1"/>
  <c r="B149" i="2"/>
  <c r="D148" i="2"/>
  <c r="C148" i="2"/>
  <c r="G148" i="2" s="1"/>
  <c r="H148" i="2" s="1"/>
  <c r="I148" i="2" s="1"/>
  <c r="B148" i="2"/>
  <c r="D147" i="2"/>
  <c r="C147" i="2"/>
  <c r="G147" i="2" s="1"/>
  <c r="H147" i="2" s="1"/>
  <c r="I147" i="2" s="1"/>
  <c r="B147" i="2"/>
  <c r="D146" i="2"/>
  <c r="C146" i="2"/>
  <c r="G146" i="2" s="1"/>
  <c r="H146" i="2" s="1"/>
  <c r="I146" i="2" s="1"/>
  <c r="B146" i="2"/>
  <c r="D145" i="2"/>
  <c r="C145" i="2"/>
  <c r="G145" i="2" s="1"/>
  <c r="H145" i="2" s="1"/>
  <c r="I145" i="2" s="1"/>
  <c r="B145" i="2"/>
  <c r="D144" i="2"/>
  <c r="C144" i="2"/>
  <c r="G144" i="2" s="1"/>
  <c r="H144" i="2" s="1"/>
  <c r="I144" i="2" s="1"/>
  <c r="B144" i="2"/>
  <c r="D143" i="2"/>
  <c r="C143" i="2"/>
  <c r="G143" i="2" s="1"/>
  <c r="H143" i="2" s="1"/>
  <c r="I143" i="2" s="1"/>
  <c r="B143" i="2"/>
  <c r="D142" i="2"/>
  <c r="C142" i="2"/>
  <c r="G142" i="2" s="1"/>
  <c r="H142" i="2" s="1"/>
  <c r="I142" i="2" s="1"/>
  <c r="B142" i="2"/>
  <c r="D141" i="2"/>
  <c r="C141" i="2"/>
  <c r="G141" i="2" s="1"/>
  <c r="H141" i="2" s="1"/>
  <c r="I141" i="2" s="1"/>
  <c r="B141" i="2"/>
  <c r="D140" i="2"/>
  <c r="C140" i="2"/>
  <c r="G140" i="2" s="1"/>
  <c r="H140" i="2" s="1"/>
  <c r="I140" i="2" s="1"/>
  <c r="B140" i="2"/>
  <c r="D139" i="2"/>
  <c r="C139" i="2"/>
  <c r="G139" i="2" s="1"/>
  <c r="H139" i="2" s="1"/>
  <c r="I139" i="2" s="1"/>
  <c r="B139" i="2"/>
  <c r="D138" i="2"/>
  <c r="C138" i="2"/>
  <c r="G138" i="2" s="1"/>
  <c r="H138" i="2" s="1"/>
  <c r="I138" i="2" s="1"/>
  <c r="B138" i="2"/>
  <c r="D137" i="2"/>
  <c r="C137" i="2"/>
  <c r="G137" i="2" s="1"/>
  <c r="H137" i="2" s="1"/>
  <c r="I137" i="2" s="1"/>
  <c r="B137" i="2"/>
  <c r="D136" i="2"/>
  <c r="C136" i="2"/>
  <c r="G136" i="2" s="1"/>
  <c r="H136" i="2" s="1"/>
  <c r="I136" i="2" s="1"/>
  <c r="B136" i="2"/>
  <c r="D135" i="2"/>
  <c r="C135" i="2"/>
  <c r="G135" i="2" s="1"/>
  <c r="H135" i="2" s="1"/>
  <c r="I135" i="2" s="1"/>
  <c r="B135" i="2"/>
  <c r="D134" i="2"/>
  <c r="C134" i="2"/>
  <c r="G134" i="2" s="1"/>
  <c r="H134" i="2" s="1"/>
  <c r="I134" i="2" s="1"/>
  <c r="B134" i="2"/>
  <c r="D133" i="2"/>
  <c r="C133" i="2"/>
  <c r="G133" i="2" s="1"/>
  <c r="H133" i="2" s="1"/>
  <c r="I133" i="2" s="1"/>
  <c r="B133" i="2"/>
  <c r="D132" i="2"/>
  <c r="C132" i="2"/>
  <c r="G132" i="2" s="1"/>
  <c r="H132" i="2" s="1"/>
  <c r="I132" i="2" s="1"/>
  <c r="B132" i="2"/>
  <c r="D131" i="2"/>
  <c r="C131" i="2"/>
  <c r="G131" i="2" s="1"/>
  <c r="H131" i="2" s="1"/>
  <c r="I131" i="2" s="1"/>
  <c r="B131" i="2"/>
  <c r="D130" i="2"/>
  <c r="C130" i="2"/>
  <c r="G130" i="2" s="1"/>
  <c r="H130" i="2" s="1"/>
  <c r="I130" i="2" s="1"/>
  <c r="B130" i="2"/>
  <c r="D129" i="2"/>
  <c r="C129" i="2"/>
  <c r="G129" i="2" s="1"/>
  <c r="H129" i="2" s="1"/>
  <c r="I129" i="2" s="1"/>
  <c r="B129" i="2"/>
  <c r="D128" i="2"/>
  <c r="C128" i="2"/>
  <c r="G128" i="2" s="1"/>
  <c r="H128" i="2" s="1"/>
  <c r="I128" i="2" s="1"/>
  <c r="B128" i="2"/>
  <c r="D127" i="2"/>
  <c r="C127" i="2"/>
  <c r="G127" i="2" s="1"/>
  <c r="H127" i="2" s="1"/>
  <c r="I127" i="2" s="1"/>
  <c r="B127" i="2"/>
  <c r="D126" i="2"/>
  <c r="C126" i="2"/>
  <c r="G126" i="2" s="1"/>
  <c r="H126" i="2" s="1"/>
  <c r="I126" i="2" s="1"/>
  <c r="B126" i="2"/>
  <c r="D125" i="2"/>
  <c r="C125" i="2"/>
  <c r="G125" i="2" s="1"/>
  <c r="H125" i="2" s="1"/>
  <c r="I125" i="2" s="1"/>
  <c r="B125" i="2"/>
  <c r="D124" i="2"/>
  <c r="C124" i="2"/>
  <c r="G124" i="2" s="1"/>
  <c r="H124" i="2" s="1"/>
  <c r="I124" i="2" s="1"/>
  <c r="B124" i="2"/>
  <c r="D123" i="2"/>
  <c r="C123" i="2"/>
  <c r="G123" i="2" s="1"/>
  <c r="H123" i="2" s="1"/>
  <c r="I123" i="2" s="1"/>
  <c r="B123" i="2"/>
  <c r="D122" i="2"/>
  <c r="C122" i="2"/>
  <c r="G122" i="2" s="1"/>
  <c r="H122" i="2" s="1"/>
  <c r="I122" i="2" s="1"/>
  <c r="B122" i="2"/>
  <c r="D121" i="2"/>
  <c r="C121" i="2"/>
  <c r="G121" i="2" s="1"/>
  <c r="H121" i="2" s="1"/>
  <c r="I121" i="2" s="1"/>
  <c r="B121" i="2"/>
  <c r="D120" i="2"/>
  <c r="C120" i="2"/>
  <c r="G120" i="2" s="1"/>
  <c r="H120" i="2" s="1"/>
  <c r="I120" i="2" s="1"/>
  <c r="B120" i="2"/>
  <c r="D119" i="2"/>
  <c r="C119" i="2"/>
  <c r="G119" i="2" s="1"/>
  <c r="H119" i="2" s="1"/>
  <c r="I119" i="2" s="1"/>
  <c r="B119" i="2"/>
  <c r="D118" i="2"/>
  <c r="C118" i="2"/>
  <c r="G118" i="2" s="1"/>
  <c r="H118" i="2" s="1"/>
  <c r="I118" i="2" s="1"/>
  <c r="B118" i="2"/>
  <c r="D117" i="2"/>
  <c r="C117" i="2"/>
  <c r="G117" i="2" s="1"/>
  <c r="H117" i="2" s="1"/>
  <c r="I117" i="2" s="1"/>
  <c r="B117" i="2"/>
  <c r="D116" i="2"/>
  <c r="C116" i="2"/>
  <c r="G116" i="2" s="1"/>
  <c r="H116" i="2" s="1"/>
  <c r="I116" i="2" s="1"/>
  <c r="B116" i="2"/>
  <c r="D115" i="2"/>
  <c r="C115" i="2"/>
  <c r="G115" i="2" s="1"/>
  <c r="H115" i="2" s="1"/>
  <c r="I115" i="2" s="1"/>
  <c r="B115" i="2"/>
  <c r="D114" i="2"/>
  <c r="C114" i="2"/>
  <c r="G114" i="2" s="1"/>
  <c r="H114" i="2" s="1"/>
  <c r="I114" i="2" s="1"/>
  <c r="B114" i="2"/>
  <c r="D113" i="2"/>
  <c r="C113" i="2"/>
  <c r="G113" i="2" s="1"/>
  <c r="H113" i="2" s="1"/>
  <c r="I113" i="2" s="1"/>
  <c r="B113" i="2"/>
  <c r="D112" i="2"/>
  <c r="C112" i="2"/>
  <c r="G112" i="2" s="1"/>
  <c r="H112" i="2" s="1"/>
  <c r="I112" i="2" s="1"/>
  <c r="B112" i="2"/>
  <c r="D111" i="2"/>
  <c r="C111" i="2"/>
  <c r="G111" i="2" s="1"/>
  <c r="H111" i="2" s="1"/>
  <c r="I111" i="2" s="1"/>
  <c r="B111" i="2"/>
  <c r="D110" i="2"/>
  <c r="C110" i="2"/>
  <c r="G110" i="2" s="1"/>
  <c r="H110" i="2" s="1"/>
  <c r="I110" i="2" s="1"/>
  <c r="B110" i="2"/>
  <c r="D109" i="2"/>
  <c r="C109" i="2"/>
  <c r="G109" i="2" s="1"/>
  <c r="H109" i="2" s="1"/>
  <c r="I109" i="2" s="1"/>
  <c r="B109" i="2"/>
  <c r="D108" i="2"/>
  <c r="C108" i="2"/>
  <c r="G108" i="2" s="1"/>
  <c r="H108" i="2" s="1"/>
  <c r="I108" i="2" s="1"/>
  <c r="B108" i="2"/>
  <c r="D107" i="2"/>
  <c r="C107" i="2"/>
  <c r="G107" i="2" s="1"/>
  <c r="H107" i="2" s="1"/>
  <c r="I107" i="2" s="1"/>
  <c r="B107" i="2"/>
  <c r="D106" i="2"/>
  <c r="C106" i="2"/>
  <c r="G106" i="2" s="1"/>
  <c r="H106" i="2" s="1"/>
  <c r="I106" i="2" s="1"/>
  <c r="B106" i="2"/>
  <c r="D105" i="2"/>
  <c r="C105" i="2"/>
  <c r="G105" i="2" s="1"/>
  <c r="H105" i="2" s="1"/>
  <c r="I105" i="2" s="1"/>
  <c r="B105" i="2"/>
  <c r="D104" i="2"/>
  <c r="C104" i="2"/>
  <c r="G104" i="2" s="1"/>
  <c r="H104" i="2" s="1"/>
  <c r="I104" i="2" s="1"/>
  <c r="B104" i="2"/>
  <c r="D103" i="2"/>
  <c r="C103" i="2"/>
  <c r="G103" i="2" s="1"/>
  <c r="H103" i="2" s="1"/>
  <c r="I103" i="2" s="1"/>
  <c r="B103" i="2"/>
  <c r="D102" i="2"/>
  <c r="C102" i="2"/>
  <c r="G102" i="2" s="1"/>
  <c r="H102" i="2" s="1"/>
  <c r="I102" i="2" s="1"/>
  <c r="B102" i="2"/>
  <c r="D101" i="2"/>
  <c r="C101" i="2"/>
  <c r="G101" i="2" s="1"/>
  <c r="H101" i="2" s="1"/>
  <c r="I101" i="2" s="1"/>
  <c r="B101" i="2"/>
  <c r="D100" i="2"/>
  <c r="C100" i="2"/>
  <c r="G100" i="2" s="1"/>
  <c r="H100" i="2" s="1"/>
  <c r="I100" i="2" s="1"/>
  <c r="B100" i="2"/>
  <c r="D99" i="2"/>
  <c r="C99" i="2"/>
  <c r="G99" i="2" s="1"/>
  <c r="H99" i="2" s="1"/>
  <c r="I99" i="2" s="1"/>
  <c r="B99" i="2"/>
  <c r="D98" i="2"/>
  <c r="C98" i="2"/>
  <c r="G98" i="2" s="1"/>
  <c r="H98" i="2" s="1"/>
  <c r="I98" i="2" s="1"/>
  <c r="B98" i="2"/>
  <c r="D97" i="2"/>
  <c r="C97" i="2"/>
  <c r="G97" i="2" s="1"/>
  <c r="H97" i="2" s="1"/>
  <c r="I97" i="2" s="1"/>
  <c r="B97" i="2"/>
  <c r="D96" i="2"/>
  <c r="C96" i="2"/>
  <c r="G96" i="2" s="1"/>
  <c r="H96" i="2" s="1"/>
  <c r="I96" i="2" s="1"/>
  <c r="B96" i="2"/>
  <c r="D95" i="2"/>
  <c r="C95" i="2"/>
  <c r="G95" i="2" s="1"/>
  <c r="H95" i="2" s="1"/>
  <c r="I95" i="2" s="1"/>
  <c r="B95" i="2"/>
  <c r="D94" i="2"/>
  <c r="C94" i="2"/>
  <c r="G94" i="2" s="1"/>
  <c r="H94" i="2" s="1"/>
  <c r="I94" i="2" s="1"/>
  <c r="B94" i="2"/>
  <c r="D93" i="2"/>
  <c r="C93" i="2"/>
  <c r="G93" i="2" s="1"/>
  <c r="H93" i="2" s="1"/>
  <c r="I93" i="2" s="1"/>
  <c r="B93" i="2"/>
  <c r="G92" i="2"/>
  <c r="H92" i="2" s="1"/>
  <c r="I92" i="2" s="1"/>
  <c r="D92" i="2"/>
  <c r="C92" i="2"/>
  <c r="B92" i="2"/>
  <c r="D91" i="2"/>
  <c r="C91" i="2"/>
  <c r="G91" i="2" s="1"/>
  <c r="H91" i="2" s="1"/>
  <c r="I91" i="2" s="1"/>
  <c r="B91" i="2"/>
  <c r="D90" i="2"/>
  <c r="C90" i="2"/>
  <c r="G90" i="2" s="1"/>
  <c r="H90" i="2" s="1"/>
  <c r="I90" i="2" s="1"/>
  <c r="B90" i="2"/>
  <c r="D89" i="2"/>
  <c r="C89" i="2"/>
  <c r="G89" i="2" s="1"/>
  <c r="H89" i="2" s="1"/>
  <c r="I89" i="2" s="1"/>
  <c r="B89" i="2"/>
  <c r="D88" i="2"/>
  <c r="C88" i="2"/>
  <c r="G88" i="2" s="1"/>
  <c r="H88" i="2" s="1"/>
  <c r="I88" i="2" s="1"/>
  <c r="B88" i="2"/>
  <c r="D87" i="2"/>
  <c r="C87" i="2"/>
  <c r="G87" i="2" s="1"/>
  <c r="H87" i="2" s="1"/>
  <c r="I87" i="2" s="1"/>
  <c r="B87" i="2"/>
  <c r="D86" i="2"/>
  <c r="C86" i="2"/>
  <c r="G86" i="2" s="1"/>
  <c r="H86" i="2" s="1"/>
  <c r="I86" i="2" s="1"/>
  <c r="B86" i="2"/>
  <c r="D85" i="2"/>
  <c r="C85" i="2"/>
  <c r="G85" i="2" s="1"/>
  <c r="H85" i="2" s="1"/>
  <c r="I85" i="2" s="1"/>
  <c r="B85" i="2"/>
  <c r="D84" i="2"/>
  <c r="C84" i="2"/>
  <c r="G84" i="2" s="1"/>
  <c r="H84" i="2" s="1"/>
  <c r="I84" i="2" s="1"/>
  <c r="B84" i="2"/>
  <c r="D83" i="2"/>
  <c r="C83" i="2"/>
  <c r="G83" i="2" s="1"/>
  <c r="H83" i="2" s="1"/>
  <c r="I83" i="2" s="1"/>
  <c r="B83" i="2"/>
  <c r="D82" i="2"/>
  <c r="C82" i="2"/>
  <c r="G82" i="2" s="1"/>
  <c r="H82" i="2" s="1"/>
  <c r="I82" i="2" s="1"/>
  <c r="B82" i="2"/>
  <c r="D81" i="2"/>
  <c r="C81" i="2"/>
  <c r="G81" i="2" s="1"/>
  <c r="H81" i="2" s="1"/>
  <c r="I81" i="2" s="1"/>
  <c r="B81" i="2"/>
  <c r="D80" i="2"/>
  <c r="C80" i="2"/>
  <c r="G80" i="2" s="1"/>
  <c r="H80" i="2" s="1"/>
  <c r="I80" i="2" s="1"/>
  <c r="B80" i="2"/>
  <c r="D79" i="2"/>
  <c r="C79" i="2"/>
  <c r="G79" i="2" s="1"/>
  <c r="H79" i="2" s="1"/>
  <c r="I79" i="2" s="1"/>
  <c r="B79" i="2"/>
  <c r="D78" i="2"/>
  <c r="C78" i="2"/>
  <c r="G78" i="2" s="1"/>
  <c r="H78" i="2" s="1"/>
  <c r="I78" i="2" s="1"/>
  <c r="B78" i="2"/>
  <c r="E77" i="2"/>
  <c r="D77" i="2"/>
  <c r="C77" i="2"/>
  <c r="G77" i="2" s="1"/>
  <c r="H77" i="2" s="1"/>
  <c r="I77" i="2" s="1"/>
  <c r="B77" i="2"/>
  <c r="E76" i="2"/>
  <c r="D76" i="2"/>
  <c r="C76" i="2"/>
  <c r="G76" i="2" s="1"/>
  <c r="H76" i="2" s="1"/>
  <c r="I76" i="2" s="1"/>
  <c r="B76" i="2"/>
  <c r="E75" i="2"/>
  <c r="D75" i="2"/>
  <c r="C75" i="2"/>
  <c r="G75" i="2" s="1"/>
  <c r="H75" i="2" s="1"/>
  <c r="I75" i="2" s="1"/>
  <c r="B75" i="2"/>
  <c r="D74" i="2"/>
  <c r="C74" i="2"/>
  <c r="G74" i="2" s="1"/>
  <c r="H74" i="2" s="1"/>
  <c r="I74" i="2" s="1"/>
  <c r="B74" i="2"/>
  <c r="E73" i="2"/>
  <c r="D73" i="2"/>
  <c r="C73" i="2"/>
  <c r="G73" i="2" s="1"/>
  <c r="H73" i="2" s="1"/>
  <c r="I73" i="2" s="1"/>
  <c r="B73" i="2"/>
  <c r="E72" i="2"/>
  <c r="D72" i="2"/>
  <c r="C72" i="2"/>
  <c r="G72" i="2" s="1"/>
  <c r="H72" i="2" s="1"/>
  <c r="I72" i="2" s="1"/>
  <c r="B72" i="2"/>
  <c r="E71" i="2"/>
  <c r="D71" i="2"/>
  <c r="C71" i="2"/>
  <c r="G71" i="2" s="1"/>
  <c r="H71" i="2" s="1"/>
  <c r="I71" i="2" s="1"/>
  <c r="B71" i="2"/>
  <c r="E70" i="2"/>
  <c r="D70" i="2"/>
  <c r="C70" i="2"/>
  <c r="G70" i="2" s="1"/>
  <c r="H70" i="2" s="1"/>
  <c r="I70" i="2" s="1"/>
  <c r="B70" i="2"/>
  <c r="D69" i="2"/>
  <c r="C69" i="2"/>
  <c r="G69" i="2" s="1"/>
  <c r="H69" i="2" s="1"/>
  <c r="I69" i="2" s="1"/>
  <c r="B69" i="2"/>
  <c r="D68" i="2"/>
  <c r="C68" i="2"/>
  <c r="G68" i="2" s="1"/>
  <c r="H68" i="2" s="1"/>
  <c r="I68" i="2" s="1"/>
  <c r="B68" i="2"/>
  <c r="D67" i="2"/>
  <c r="C67" i="2"/>
  <c r="G67" i="2" s="1"/>
  <c r="H67" i="2" s="1"/>
  <c r="I67" i="2" s="1"/>
  <c r="B67" i="2"/>
  <c r="D66" i="2"/>
  <c r="C66" i="2"/>
  <c r="G66" i="2" s="1"/>
  <c r="H66" i="2" s="1"/>
  <c r="I66" i="2" s="1"/>
  <c r="B66" i="2"/>
  <c r="D65" i="2"/>
  <c r="C65" i="2"/>
  <c r="G65" i="2" s="1"/>
  <c r="H65" i="2" s="1"/>
  <c r="I65" i="2" s="1"/>
  <c r="B65" i="2"/>
  <c r="D64" i="2"/>
  <c r="C64" i="2"/>
  <c r="G64" i="2" s="1"/>
  <c r="H64" i="2" s="1"/>
  <c r="I64" i="2" s="1"/>
  <c r="B64" i="2"/>
  <c r="D63" i="2"/>
  <c r="C63" i="2"/>
  <c r="G63" i="2" s="1"/>
  <c r="H63" i="2" s="1"/>
  <c r="I63" i="2" s="1"/>
  <c r="B63" i="2"/>
  <c r="D62" i="2"/>
  <c r="C62" i="2"/>
  <c r="G62" i="2" s="1"/>
  <c r="H62" i="2" s="1"/>
  <c r="I62" i="2" s="1"/>
  <c r="B62" i="2"/>
  <c r="D61" i="2"/>
  <c r="C61" i="2"/>
  <c r="G61" i="2" s="1"/>
  <c r="H61" i="2" s="1"/>
  <c r="I61" i="2" s="1"/>
  <c r="B61" i="2"/>
  <c r="D60" i="2"/>
  <c r="C60" i="2"/>
  <c r="G60" i="2" s="1"/>
  <c r="H60" i="2" s="1"/>
  <c r="I60" i="2" s="1"/>
  <c r="B60" i="2"/>
  <c r="D59" i="2"/>
  <c r="C59" i="2"/>
  <c r="G59" i="2" s="1"/>
  <c r="H59" i="2" s="1"/>
  <c r="I59" i="2" s="1"/>
  <c r="B59" i="2"/>
  <c r="D58" i="2"/>
  <c r="C58" i="2"/>
  <c r="G58" i="2" s="1"/>
  <c r="H58" i="2" s="1"/>
  <c r="I58" i="2" s="1"/>
  <c r="B58" i="2"/>
  <c r="D57" i="2"/>
  <c r="C57" i="2"/>
  <c r="G57" i="2" s="1"/>
  <c r="H57" i="2" s="1"/>
  <c r="I57" i="2" s="1"/>
  <c r="B57" i="2"/>
  <c r="D56" i="2"/>
  <c r="C56" i="2"/>
  <c r="G56" i="2" s="1"/>
  <c r="H56" i="2" s="1"/>
  <c r="I56" i="2" s="1"/>
  <c r="B56" i="2"/>
  <c r="D55" i="2"/>
  <c r="C55" i="2"/>
  <c r="G55" i="2" s="1"/>
  <c r="H55" i="2" s="1"/>
  <c r="I55" i="2" s="1"/>
  <c r="B55" i="2"/>
  <c r="D54" i="2"/>
  <c r="C54" i="2"/>
  <c r="G54" i="2" s="1"/>
  <c r="H54" i="2" s="1"/>
  <c r="I54" i="2" s="1"/>
  <c r="B54" i="2"/>
  <c r="D53" i="2"/>
  <c r="C53" i="2"/>
  <c r="G53" i="2" s="1"/>
  <c r="H53" i="2" s="1"/>
  <c r="I53" i="2" s="1"/>
  <c r="B53" i="2"/>
  <c r="D52" i="2"/>
  <c r="C52" i="2"/>
  <c r="G52" i="2" s="1"/>
  <c r="H52" i="2" s="1"/>
  <c r="I52" i="2" s="1"/>
  <c r="B52" i="2"/>
  <c r="D51" i="2"/>
  <c r="C51" i="2"/>
  <c r="G51" i="2" s="1"/>
  <c r="H51" i="2" s="1"/>
  <c r="I51" i="2" s="1"/>
  <c r="B51" i="2"/>
  <c r="D50" i="2"/>
  <c r="C50" i="2"/>
  <c r="G50" i="2" s="1"/>
  <c r="H50" i="2" s="1"/>
  <c r="I50" i="2" s="1"/>
  <c r="B50" i="2"/>
  <c r="D49" i="2"/>
  <c r="C49" i="2"/>
  <c r="G49" i="2" s="1"/>
  <c r="H49" i="2" s="1"/>
  <c r="I49" i="2" s="1"/>
  <c r="B49" i="2"/>
  <c r="D48" i="2"/>
  <c r="C48" i="2"/>
  <c r="G48" i="2" s="1"/>
  <c r="H48" i="2" s="1"/>
  <c r="I48" i="2" s="1"/>
  <c r="B48" i="2"/>
  <c r="D47" i="2"/>
  <c r="C47" i="2"/>
  <c r="G47" i="2" s="1"/>
  <c r="H47" i="2" s="1"/>
  <c r="I47" i="2" s="1"/>
  <c r="B47" i="2"/>
  <c r="D46" i="2"/>
  <c r="C46" i="2"/>
  <c r="G46" i="2" s="1"/>
  <c r="H46" i="2" s="1"/>
  <c r="I46" i="2" s="1"/>
  <c r="B46" i="2"/>
  <c r="D45" i="2"/>
  <c r="C45" i="2"/>
  <c r="G45" i="2" s="1"/>
  <c r="H45" i="2" s="1"/>
  <c r="I45" i="2" s="1"/>
  <c r="B45" i="2"/>
  <c r="D44" i="2"/>
  <c r="C44" i="2"/>
  <c r="G44" i="2" s="1"/>
  <c r="H44" i="2" s="1"/>
  <c r="I44" i="2" s="1"/>
  <c r="B44" i="2"/>
  <c r="D43" i="2"/>
  <c r="C43" i="2"/>
  <c r="G43" i="2" s="1"/>
  <c r="H43" i="2" s="1"/>
  <c r="I43" i="2" s="1"/>
  <c r="B43" i="2"/>
  <c r="D42" i="2"/>
  <c r="C42" i="2"/>
  <c r="G42" i="2" s="1"/>
  <c r="H42" i="2" s="1"/>
  <c r="I42" i="2" s="1"/>
  <c r="B42" i="2"/>
  <c r="D41" i="2"/>
  <c r="C41" i="2"/>
  <c r="G41" i="2" s="1"/>
  <c r="H41" i="2" s="1"/>
  <c r="I41" i="2" s="1"/>
  <c r="B41" i="2"/>
  <c r="D40" i="2"/>
  <c r="C40" i="2"/>
  <c r="G40" i="2" s="1"/>
  <c r="H40" i="2" s="1"/>
  <c r="I40" i="2" s="1"/>
  <c r="B40" i="2"/>
  <c r="D39" i="2"/>
  <c r="C39" i="2"/>
  <c r="G39" i="2" s="1"/>
  <c r="H39" i="2" s="1"/>
  <c r="I39" i="2" s="1"/>
  <c r="B39" i="2"/>
  <c r="D38" i="2"/>
  <c r="C38" i="2"/>
  <c r="G38" i="2" s="1"/>
  <c r="H38" i="2" s="1"/>
  <c r="I38" i="2" s="1"/>
  <c r="B38" i="2"/>
  <c r="D37" i="2"/>
  <c r="C37" i="2"/>
  <c r="G37" i="2" s="1"/>
  <c r="H37" i="2" s="1"/>
  <c r="I37" i="2" s="1"/>
  <c r="B37" i="2"/>
  <c r="D36" i="2"/>
  <c r="C36" i="2"/>
  <c r="G36" i="2" s="1"/>
  <c r="H36" i="2" s="1"/>
  <c r="I36" i="2" s="1"/>
  <c r="B36" i="2"/>
  <c r="D35" i="2"/>
  <c r="C35" i="2"/>
  <c r="G35" i="2" s="1"/>
  <c r="H35" i="2" s="1"/>
  <c r="I35" i="2" s="1"/>
  <c r="B35" i="2"/>
  <c r="D34" i="2"/>
  <c r="C34" i="2"/>
  <c r="G34" i="2" s="1"/>
  <c r="H34" i="2" s="1"/>
  <c r="I34" i="2" s="1"/>
  <c r="B34" i="2"/>
  <c r="D33" i="2"/>
  <c r="C33" i="2"/>
  <c r="G33" i="2" s="1"/>
  <c r="H33" i="2" s="1"/>
  <c r="I33" i="2" s="1"/>
  <c r="B33" i="2"/>
  <c r="D32" i="2"/>
  <c r="C32" i="2"/>
  <c r="G32" i="2" s="1"/>
  <c r="H32" i="2" s="1"/>
  <c r="I32" i="2" s="1"/>
  <c r="B32" i="2"/>
  <c r="D31" i="2"/>
  <c r="C31" i="2"/>
  <c r="G31" i="2" s="1"/>
  <c r="H31" i="2" s="1"/>
  <c r="I31" i="2" s="1"/>
  <c r="B31" i="2"/>
  <c r="D30" i="2"/>
  <c r="C30" i="2"/>
  <c r="G30" i="2" s="1"/>
  <c r="H30" i="2" s="1"/>
  <c r="I30" i="2" s="1"/>
  <c r="B30" i="2"/>
  <c r="D29" i="2"/>
  <c r="C29" i="2"/>
  <c r="G29" i="2" s="1"/>
  <c r="H29" i="2" s="1"/>
  <c r="I29" i="2" s="1"/>
  <c r="B29" i="2"/>
  <c r="D28" i="2"/>
  <c r="C28" i="2"/>
  <c r="G28" i="2" s="1"/>
  <c r="H28" i="2" s="1"/>
  <c r="I28" i="2" s="1"/>
  <c r="B28" i="2"/>
  <c r="D27" i="2"/>
  <c r="C27" i="2"/>
  <c r="G27" i="2" s="1"/>
  <c r="H27" i="2" s="1"/>
  <c r="I27" i="2" s="1"/>
  <c r="B27" i="2"/>
  <c r="D26" i="2"/>
  <c r="C26" i="2"/>
  <c r="G26" i="2" s="1"/>
  <c r="H26" i="2" s="1"/>
  <c r="I26" i="2" s="1"/>
  <c r="B26" i="2"/>
  <c r="D25" i="2"/>
  <c r="C25" i="2"/>
  <c r="G25" i="2" s="1"/>
  <c r="H25" i="2" s="1"/>
  <c r="I25" i="2" s="1"/>
  <c r="B25" i="2"/>
  <c r="D24" i="2"/>
  <c r="C24" i="2"/>
  <c r="G24" i="2" s="1"/>
  <c r="H24" i="2" s="1"/>
  <c r="I24" i="2" s="1"/>
  <c r="B24" i="2"/>
  <c r="D23" i="2"/>
  <c r="C23" i="2"/>
  <c r="G23" i="2" s="1"/>
  <c r="H23" i="2" s="1"/>
  <c r="I23" i="2" s="1"/>
  <c r="B23" i="2"/>
  <c r="D22" i="2"/>
  <c r="C22" i="2"/>
  <c r="G22" i="2" s="1"/>
  <c r="H22" i="2" s="1"/>
  <c r="I22" i="2" s="1"/>
  <c r="B22" i="2"/>
  <c r="D21" i="2"/>
  <c r="C21" i="2"/>
  <c r="G21" i="2" s="1"/>
  <c r="H21" i="2" s="1"/>
  <c r="I21" i="2" s="1"/>
  <c r="B21" i="2"/>
  <c r="D20" i="2"/>
  <c r="C20" i="2"/>
  <c r="G20" i="2" s="1"/>
  <c r="H20" i="2" s="1"/>
  <c r="I20" i="2" s="1"/>
  <c r="B20" i="2"/>
  <c r="D19" i="2"/>
  <c r="C19" i="2"/>
  <c r="G19" i="2" s="1"/>
  <c r="H19" i="2" s="1"/>
  <c r="I19" i="2" s="1"/>
  <c r="B19" i="2"/>
  <c r="D18" i="2"/>
  <c r="C18" i="2"/>
  <c r="G18" i="2" s="1"/>
  <c r="H18" i="2" s="1"/>
  <c r="I18" i="2" s="1"/>
  <c r="B18" i="2"/>
  <c r="D17" i="2"/>
  <c r="C17" i="2"/>
  <c r="G17" i="2" s="1"/>
  <c r="H17" i="2" s="1"/>
  <c r="I17" i="2" s="1"/>
  <c r="B17" i="2"/>
  <c r="D16" i="2"/>
  <c r="C16" i="2"/>
  <c r="G16" i="2" s="1"/>
  <c r="H16" i="2" s="1"/>
  <c r="I16" i="2" s="1"/>
  <c r="B16" i="2"/>
  <c r="D15" i="2"/>
  <c r="C15" i="2"/>
  <c r="G15" i="2" s="1"/>
  <c r="H15" i="2" s="1"/>
  <c r="I15" i="2" s="1"/>
  <c r="B15" i="2"/>
  <c r="D14" i="2"/>
  <c r="C14" i="2"/>
  <c r="G14" i="2" s="1"/>
  <c r="H14" i="2" s="1"/>
  <c r="I14" i="2" s="1"/>
  <c r="B14" i="2"/>
  <c r="D13" i="2"/>
  <c r="C13" i="2"/>
  <c r="G13" i="2" s="1"/>
  <c r="H13" i="2" s="1"/>
  <c r="I13" i="2" s="1"/>
  <c r="B13" i="2"/>
  <c r="D12" i="2"/>
  <c r="C12" i="2"/>
  <c r="G12" i="2" s="1"/>
  <c r="H12" i="2" s="1"/>
  <c r="I12" i="2" s="1"/>
  <c r="B12" i="2"/>
  <c r="D11" i="2"/>
  <c r="C11" i="2"/>
  <c r="G11" i="2" s="1"/>
  <c r="H11" i="2" s="1"/>
  <c r="I11" i="2" s="1"/>
  <c r="B11" i="2"/>
  <c r="D10" i="2"/>
  <c r="C10" i="2"/>
  <c r="G10" i="2" s="1"/>
  <c r="H10" i="2" s="1"/>
  <c r="I10" i="2" s="1"/>
  <c r="B10" i="2"/>
  <c r="D9" i="2"/>
  <c r="C9" i="2"/>
  <c r="G9" i="2" s="1"/>
  <c r="H9" i="2" s="1"/>
  <c r="I9" i="2" s="1"/>
  <c r="B9" i="2"/>
  <c r="D8" i="2"/>
  <c r="C8" i="2"/>
  <c r="G8" i="2" s="1"/>
  <c r="H8" i="2" s="1"/>
  <c r="I8" i="2" s="1"/>
  <c r="B8" i="2"/>
  <c r="D7" i="2"/>
  <c r="C7" i="2"/>
  <c r="G7" i="2" s="1"/>
  <c r="H7" i="2" s="1"/>
  <c r="I7" i="2" s="1"/>
  <c r="B7" i="2"/>
  <c r="D6" i="2"/>
  <c r="C6" i="2"/>
  <c r="G6" i="2" s="1"/>
  <c r="H6" i="2" s="1"/>
  <c r="I6" i="2" s="1"/>
  <c r="B6" i="2"/>
  <c r="D5" i="2"/>
  <c r="C5" i="2"/>
  <c r="G5" i="2" s="1"/>
  <c r="H5" i="2" s="1"/>
  <c r="I5" i="2" s="1"/>
  <c r="B5" i="2"/>
  <c r="D4" i="2"/>
  <c r="C4" i="2"/>
  <c r="G4" i="2" s="1"/>
  <c r="H4" i="2" s="1"/>
  <c r="I4" i="2" s="1"/>
  <c r="B4" i="2"/>
  <c r="D3" i="2"/>
  <c r="C3" i="2"/>
  <c r="G3" i="2" s="1"/>
  <c r="H3" i="2" s="1"/>
  <c r="I3" i="2" s="1"/>
  <c r="B3" i="2"/>
  <c r="D2" i="2"/>
  <c r="C2" i="2"/>
  <c r="G2" i="2" s="1"/>
  <c r="H2" i="2" s="1"/>
  <c r="I2" i="2" s="1"/>
  <c r="B2" i="2"/>
</calcChain>
</file>

<file path=xl/sharedStrings.xml><?xml version="1.0" encoding="utf-8"?>
<sst xmlns="http://schemas.openxmlformats.org/spreadsheetml/2006/main" count="2072" uniqueCount="2072">
  <si>
    <t>US,Adams State College,http://www.adams.edu/</t>
  </si>
  <si>
    <t>US,Adelphi University,http://www.adelphi.edu/</t>
  </si>
  <si>
    <t>US,Adler School of Professional Psychology,http://www.adler.edu/</t>
  </si>
  <si>
    <t>US,Adrian College,http://www.adrian.edu/</t>
  </si>
  <si>
    <t>US,Agnes Scott College,http://www.scottlan.edu/</t>
  </si>
  <si>
    <t>US,Air Force Institute of Technology,http://www.afit.af.mil/</t>
  </si>
  <si>
    <t>US,Alabama Agricultural and Mechanical University,http://www.aamu.edu/</t>
  </si>
  <si>
    <t>US,Alabama State University,http://www.alasu.edu/</t>
  </si>
  <si>
    <t>US,Alaska Bible College,http://www.akbible.edu/</t>
  </si>
  <si>
    <t>US,Alaska Pacific University,http://www.alaskapacific.edu/</t>
  </si>
  <si>
    <t>US,Albany College of Pharmacy,http://www.acp.edu/</t>
  </si>
  <si>
    <t>US,Albany Law School,http://www.albanylaw.edu/</t>
  </si>
  <si>
    <t>US,Albany Medical Center,http://www.amc.edu/</t>
  </si>
  <si>
    <t>US,Albany State University,http://www.asurams.edu/</t>
  </si>
  <si>
    <t>US,Albertus Magnus College,http://www.albertus.edu/</t>
  </si>
  <si>
    <t>US,Albion College,http://www.albion.edu/</t>
  </si>
  <si>
    <t>US,Albright College,http://www.albright.edu/</t>
  </si>
  <si>
    <t>US,Alcorn State University,http://www.alcorn.edu/</t>
  </si>
  <si>
    <t>US,Alderson Broaddus College,http://www.ab.edu/</t>
  </si>
  <si>
    <t>US,Alfred Adler Graduate School,http://www.alfredadler.edu/</t>
  </si>
  <si>
    <t>US,Alfred University,http://www.alfred.edu/</t>
  </si>
  <si>
    <t>US,Alice Lloyd College,http://www.alc.edu/</t>
  </si>
  <si>
    <t>US,Allegheny College,http://www.alleg.edu/</t>
  </si>
  <si>
    <t>US,Allen University,http://www.scicu.org/allen/</t>
  </si>
  <si>
    <t>US,Alma College,http://www.alma.edu/</t>
  </si>
  <si>
    <t>US,Alvernia College,http://www.alvernia.edu/</t>
  </si>
  <si>
    <t>US,Alverno College,http://www.alverno.edu/</t>
  </si>
  <si>
    <t>US,Ambassador University,http://www.ambassador.edu/</t>
  </si>
  <si>
    <t>US,Amber University,http://www.amberu.edu/</t>
  </si>
  <si>
    <t>US,American Academy of Nutrition,http://www.nutritioneducation.com/</t>
  </si>
  <si>
    <t>US,American Business &amp; Technology University,http://www.abtu.edu/</t>
  </si>
  <si>
    <t>US,American Conservatory of Music,http://members.aol.com/amerconsmu/</t>
  </si>
  <si>
    <t>US,American Conservatory Theater,http://www.act-sfbay.org/</t>
  </si>
  <si>
    <t>US,American-European School of Management ,http://www.aesom.com/</t>
  </si>
  <si>
    <t>US,American Film Institute Center for Advanced Film and Television Studies,http://www.afionline.org/cafts/cafts.home.html</t>
  </si>
  <si>
    <t>US,American Indian College,http://www.aicag.edu/</t>
  </si>
  <si>
    <t>US,American InterContinental University - Atlanta,http://www.aiuniv.edu/</t>
  </si>
  <si>
    <t>US,American InterContinental University - Ft. Lauderdale,http://www.aiuniv.edu/</t>
  </si>
  <si>
    <t>US,American InterContinental University - Georgia,http://www.aiuniv.edu/</t>
  </si>
  <si>
    <t>US,American InterContinental University Online,http://www.aiu-online.com/</t>
  </si>
  <si>
    <t>US,American International College,http://www.aic.edu/</t>
  </si>
  <si>
    <t>US,American Jewish University,http://www.ajula.edu/</t>
  </si>
  <si>
    <t>US,American Military University,http://www.amunet.edu/</t>
  </si>
  <si>
    <t>US,American Public University,http://www.apus.edu/</t>
  </si>
  <si>
    <t>US,American University,http://www.american.edu/</t>
  </si>
  <si>
    <t>US,American World University,http://www.awu.edu/</t>
  </si>
  <si>
    <t>US,Amherst College,http://www.amherst.edu/</t>
  </si>
  <si>
    <t>US,Anderson College,http://www.anderson-college.edu/</t>
  </si>
  <si>
    <t>US,Anderson University,http://www.anderson.edu/</t>
  </si>
  <si>
    <t>US,Andon College - Modesto,http://www.andoncollege.com/</t>
  </si>
  <si>
    <t>US,Andon College - Stockton,http://www.andoncollege.org/</t>
  </si>
  <si>
    <t>US,Andrew Jackson University,http://www.aju.edu/</t>
  </si>
  <si>
    <t>US,Andrews University,http://www.andrews.edu/</t>
  </si>
  <si>
    <t>US,Angelo State University,http://www.angelo.edu/</t>
  </si>
  <si>
    <t>US,Anna Maria College,http://www.anna-maria.edu/</t>
  </si>
  <si>
    <t>US,Antioch New England Graduate School,http://www.antiochne.edu/</t>
  </si>
  <si>
    <t>US,Antioch University,http://www.antioch.edu/</t>
  </si>
  <si>
    <t>US,Antioch University Los Angeles,http://www.antiochla.edu/</t>
  </si>
  <si>
    <t>US,Antioch University Santa Barbara,http://www.antiochsb.edu/</t>
  </si>
  <si>
    <t>US,Antioch University Seattle,http://www.antiochsea.edu/</t>
  </si>
  <si>
    <t>US,Appalachian Bible College,http://www.appbibco.edu/</t>
  </si>
  <si>
    <t>US,Appalachian State University,http://www.appstate.edu/</t>
  </si>
  <si>
    <t>US,Aquinas College,http://www.aquinas.edu/</t>
  </si>
  <si>
    <t>US,Arcadia University,http://www.arcadia.edu/</t>
  </si>
  <si>
    <t>US,Argosy University,http://www.argosy.edu/</t>
  </si>
  <si>
    <t>US,Argosy University - Hawaii,http://www.argosyu.edu/</t>
  </si>
  <si>
    <t>US,Arizona Christian University,http://www.arizonachristian.edu</t>
  </si>
  <si>
    <t>US,Arizona State University,http://www.asu.edu/</t>
  </si>
  <si>
    <t>US,"Arizona State University, Downtown Phoenix Campus",https://campus.asu.edu/downtown</t>
  </si>
  <si>
    <t>US,"Arizona State University, Polytechnic Campus",https://campus.asu.edu/polytechnic</t>
  </si>
  <si>
    <t>US,"Arizona State University, Tempe Campus",https://campus.asu.edu/tempe</t>
  </si>
  <si>
    <t>US,"Arizona State University, West Campus",https://campus.asu.edu/west</t>
  </si>
  <si>
    <t>US,Arkansas State University,http://www.astate.edu/</t>
  </si>
  <si>
    <t>US,"Arkansas State University, Beebe",http://www.asub.edu/</t>
  </si>
  <si>
    <t>US,"Arkansas State University, Mountain Home",http://www.asumh.edu/</t>
  </si>
  <si>
    <t>US,"Arkansas State University, Newport",http://www.asun.edu/</t>
  </si>
  <si>
    <t>US,Arkansas Tech University,http://www.atu.edu/</t>
  </si>
  <si>
    <t>US,Arlington Baptist College,http://www.abconline.edu/</t>
  </si>
  <si>
    <t>US,Armstrong Atlantic State University,http://www.armstrong.edu/</t>
  </si>
  <si>
    <t>US,Armstrong University,http://www.armstrong-u.edu/</t>
  </si>
  <si>
    <t>US,Art Academy of Cincinnati,http://www.artacademy.edu/</t>
  </si>
  <si>
    <t>US,Art Center College of Design,http://www.artcenter.edu/</t>
  </si>
  <si>
    <t>US,Arthur D. Little Management Education Institute,http://www.adlsom.edu/</t>
  </si>
  <si>
    <t>US,Art Institute of Charlotte,http://www.aich.artinstitutes.edu/</t>
  </si>
  <si>
    <t>US,Art Institute of Southern California,http://www.aisc.edu/</t>
  </si>
  <si>
    <t>US,Asbury College,http://www.asbury.edu/</t>
  </si>
  <si>
    <t>US,Ashland University,http://www.ashland.edu/</t>
  </si>
  <si>
    <t>US,Assumption College,http://www.assumption.edu/</t>
  </si>
  <si>
    <t>US,Athenaeum of Ohio,http://www.mtsm.org/</t>
  </si>
  <si>
    <t>US,Athens State College,http://www.athens.edu/</t>
  </si>
  <si>
    <t>US,Atlanta Christian College,http://www.acc.edu/</t>
  </si>
  <si>
    <t>US,Atlanta College of Art,http://www.aca.edu/</t>
  </si>
  <si>
    <t>US,Atlantic International University,http://www.aiu.edu/</t>
  </si>
  <si>
    <t>US,Atlantic Union College,http://www.atlanticuc.edu/</t>
  </si>
  <si>
    <t>US,Atlantic University,http://www.atlanticuniv.edu/</t>
  </si>
  <si>
    <t>US,Auburn University,http://www.auburn.edu/</t>
  </si>
  <si>
    <t>US,Auburn University at Montgomery,http://www.aum.edu/</t>
  </si>
  <si>
    <t>US,Audrey Cohen College,http://www.audrey-cohen.edu/</t>
  </si>
  <si>
    <t>US,Augsburg College,http://www.augsburg.edu/</t>
  </si>
  <si>
    <t>US,Augustana College,http://www.augustana.edu/</t>
  </si>
  <si>
    <t>US,Augustana College,http://www.augie.edu/</t>
  </si>
  <si>
    <t>US,Augusta State University,http://www.aug.edu/</t>
  </si>
  <si>
    <t>US,Aurora University,http://www.aurora.edu/</t>
  </si>
  <si>
    <t>US,Austin College,http://www.austinc.edu/</t>
  </si>
  <si>
    <t>US,Austin Community College,http://www.austin.cc.tx.us/</t>
  </si>
  <si>
    <t>US,Austin Peay State University,http://www.apsu.edu/</t>
  </si>
  <si>
    <t>US,Ave Maria University,http://www.avemaria.edu/</t>
  </si>
  <si>
    <t>US,Averett College,http://www.averett.edu/</t>
  </si>
  <si>
    <t>US,Avila College,http://www.avila.edu/</t>
  </si>
  <si>
    <t>US,Azusa Pacific University,http://www.apu.edu/</t>
  </si>
  <si>
    <t>US,Babson College,http://www.babson.edu/</t>
  </si>
  <si>
    <t>US,Baker College of Auburn Hills,http://www.baker.edu/visit/auburn.html</t>
  </si>
  <si>
    <t>US,Baker College of Cadillac,http://www.baker.edu/visit/cadillac.html</t>
  </si>
  <si>
    <t>US,Baker College of Flint,http://www.baker.edu/visit/flint.html</t>
  </si>
  <si>
    <t>US,Baker College of Mount Clemens,http://www.baker.edu/visit/mtclemens.html</t>
  </si>
  <si>
    <t>US,Baker College of Muskegon,http://www.baker.edu/visit/muskegon.html</t>
  </si>
  <si>
    <t>US,Baker College of Owosso,http://www.baker.edu/visit/owosso.html</t>
  </si>
  <si>
    <t>US,Baker College of Port Huron,http://www.baker.edu/visit/porthuron.html</t>
  </si>
  <si>
    <t>US,Baker University,http://www.bakeru.edu/</t>
  </si>
  <si>
    <t>US,Baldwin-Wallace College,http://www.baldwinw.edu/</t>
  </si>
  <si>
    <t>US,Ball State University,http://www.bsu.edu/</t>
  </si>
  <si>
    <t>US,Baltimore Hebrew University,http://www.bhu.edu/</t>
  </si>
  <si>
    <t>US,Baltimore International College,http://www.bic.edu/</t>
  </si>
  <si>
    <t>US,Bank Street College of Education,http://www.bnkst.edu/</t>
  </si>
  <si>
    <t>US,Baptist Bible College of Missouri,http://www.bbcnet.edu/</t>
  </si>
  <si>
    <t>US,Baptist Bible College of Pennsylvania,http://www.bbc.edu/</t>
  </si>
  <si>
    <t>US,Barat College,http://www.barat.edu/</t>
  </si>
  <si>
    <t>US,Barber-Scotia College,http://www.b-sc.edu/</t>
  </si>
  <si>
    <t>US,Barclay College,http://www.barclaycollege.edu/</t>
  </si>
  <si>
    <t>US,Bard College,http://www.bard.edu/</t>
  </si>
  <si>
    <t>US,Bard Graduate Center for Studies in the Decorative Arts,http://www.bard.edu/graduate/BGC/intro.html</t>
  </si>
  <si>
    <t>US,Barnard College - Columbia University,http://www.barnard.edu/</t>
  </si>
  <si>
    <t>US,Barry University,http://www.barry.edu/</t>
  </si>
  <si>
    <t>US,Bartlesville Wesleyan College,http://www.bwc.edu/</t>
  </si>
  <si>
    <t>US,Barton College,http://www.barton.edu/</t>
  </si>
  <si>
    <t>US,Bastyr University,http://www.bastyr.edu/</t>
  </si>
  <si>
    <t>US,Bates College,http://www.bates.edu/</t>
  </si>
  <si>
    <t>US,Bauder College,http://www.bauder.edu/</t>
  </si>
  <si>
    <t>US,Baylor College of Dentistry,http://www.tambcd.edu/</t>
  </si>
  <si>
    <t>US,Baylor College of Medicine,http://www.bcm.tmc.edu/</t>
  </si>
  <si>
    <t>US,Baylor University,http://www.baylor.edu/</t>
  </si>
  <si>
    <t>US,Belhaven College,http://www.belhaven.edu/</t>
  </si>
  <si>
    <t>US,Bellarmine College,http://www.bellarmine.edu/</t>
  </si>
  <si>
    <t>US,Bellevue University,http://www.bellevue.edu/</t>
  </si>
  <si>
    <t>US,Bellin College of Nursing,http://www.bellin.org/bcn/</t>
  </si>
  <si>
    <t>US,Belmont Abbey College,http://www.bac.edu/</t>
  </si>
  <si>
    <t>US,Belmont University,http://www.belmont.edu/</t>
  </si>
  <si>
    <t>US,Beloit College,http://www.beloit.edu/</t>
  </si>
  <si>
    <t>US,Bemidji State Univeristy,http://www.bemidji.msus.edu/</t>
  </si>
  <si>
    <t>US,Benedict College,http://www.benedict.edu/</t>
  </si>
  <si>
    <t>US,Benedictine College,http://www.benedictine.edu/</t>
  </si>
  <si>
    <t>US,Benedictine University,http://www.ben.edu/</t>
  </si>
  <si>
    <t>US,"Benedictine University, Springfield College in Illinois",http://www.sci.edu/</t>
  </si>
  <si>
    <t>US,Bennett College,http://www.bennett.edu/</t>
  </si>
  <si>
    <t>US,Bennington College,http://www.bennington.edu/</t>
  </si>
  <si>
    <t>US,Bentley College,http://www.bentley.edu/</t>
  </si>
  <si>
    <t>US,Berea College,http://www.berea.edu/</t>
  </si>
  <si>
    <t>US,Berean University of the Assemblies of God,http://www.berean.edu/</t>
  </si>
  <si>
    <t>US,Berklee College of Music,http://www.berklee.edu/</t>
  </si>
  <si>
    <t>US,Berne University,http://www.berne.edu/</t>
  </si>
  <si>
    <t>US,Berry College,http://www.berry.edu/</t>
  </si>
  <si>
    <t>US,Bethany College California,http://www.bethany.edu/</t>
  </si>
  <si>
    <t>US,Bethany College Kansas,http://www.bethanylb.edu/</t>
  </si>
  <si>
    <t>US,Bethany College West Virginia,http://www.bethany.wvnet.edu/</t>
  </si>
  <si>
    <t>US,Bethel College McKenzie,http://www.bethel-college.edu/</t>
  </si>
  <si>
    <t>US,Bethel College Mishawaka,http://www.bethel-in.edu/</t>
  </si>
  <si>
    <t>US,Bethel College Newton,http://www.bethelks.edu/</t>
  </si>
  <si>
    <t>US,Beth-El College of Nursing and Health Sciences,http://www.uccs.edu/~bethel/</t>
  </si>
  <si>
    <t>US,Bethel College St. Paul,http://www.bethel.edu/</t>
  </si>
  <si>
    <t>US,Bethune-Cookman College,http://www.bethune.cookman.edu/</t>
  </si>
  <si>
    <t>US,Biola University,http://www.biola.edu/</t>
  </si>
  <si>
    <t>US,Birmingham-Southern College,http://www.bsc.edu/</t>
  </si>
  <si>
    <t>US,Blackburn College,http://www.blackburn.edu/</t>
  </si>
  <si>
    <t>US,Black Hawk College,http://www.bhc.edu/</t>
  </si>
  <si>
    <t>US,Black Hills State University,http://www.bhsu.edu/</t>
  </si>
  <si>
    <t>US,Blessing-Rieman College of Nursing,http://www.brcn.edu/</t>
  </si>
  <si>
    <t>US,Bloomfield College,http://www.bloomfield.edu/</t>
  </si>
  <si>
    <t>US,Bloomsburg University of Pennsylvania,http://www.bloomu.edu/</t>
  </si>
  <si>
    <t>US,Bluefield College,http://www.bluefield.edu/</t>
  </si>
  <si>
    <t>US,Bluefield State College,http://www.bluefield.wvnet.edu/</t>
  </si>
  <si>
    <t>US,Blue Mountain College,http://www.bmc.edu/</t>
  </si>
  <si>
    <t>US,Bluffton College,http://www.bluffton.edu/</t>
  </si>
  <si>
    <t>US,Bob Jones University,http://www.bju.edu/</t>
  </si>
  <si>
    <t>US,Boise Bible College,http://www.boisebible.edu/</t>
  </si>
  <si>
    <t>US,Boise State University,http://www.boisestate.edu/</t>
  </si>
  <si>
    <t>US,Boricua College,http://www.boricuacollege.edu/</t>
  </si>
  <si>
    <t>US,Boston Architectural Center,http://www.the-bac.edu/</t>
  </si>
  <si>
    <t>US,Boston College,http://www.bc.edu/</t>
  </si>
  <si>
    <t>US,Boston University,http://www.bu.edu/</t>
  </si>
  <si>
    <t>US,Bowdoin College,http://www.bowdoin.edu/</t>
  </si>
  <si>
    <t>US,Bowie State University,http://www.bowiestate.edu/</t>
  </si>
  <si>
    <t>US,Bowling Green State University,http://www.bgsu.edu/</t>
  </si>
  <si>
    <t>US,"Bowling Green State University, Firelands",http://www.firelands.bgsu.edu/</t>
  </si>
  <si>
    <t>US,Bradley University,http://www.bradley.edu/</t>
  </si>
  <si>
    <t>US,Brandeis University,http://www.brandeis.edu/</t>
  </si>
  <si>
    <t>US,Brandman University,http://www.brandman.edu/</t>
  </si>
  <si>
    <t>US,Brenau University,http://www.brenau.edu/</t>
  </si>
  <si>
    <t>US,Brescia University,http://www.brescia.edu/</t>
  </si>
  <si>
    <t>US,Brevard College,http://www.brevard.edu/</t>
  </si>
  <si>
    <t>US,Brewton-Parker College,http://www.bpc.edu/</t>
  </si>
  <si>
    <t>US,Breyer State University (Virtual University),http://www.breyerstate.com/</t>
  </si>
  <si>
    <t>US,Briar Cliff College,http://www.briar-cliff.edu/</t>
  </si>
  <si>
    <t>US,Bridgewater College,http://www.bridgewater.edu/</t>
  </si>
  <si>
    <t>US,Bridgewater State College,http://www.bridgew.edu/</t>
  </si>
  <si>
    <t>US,Brigham Young University,http://www.byui.edu/</t>
  </si>
  <si>
    <t>US,Brigham Young University,http://www.byu.edu/</t>
  </si>
  <si>
    <t>US,Brigham Young University Hawaii,http://www.byuh.edu/</t>
  </si>
  <si>
    <t>US,Brooklyn Law School,http://www.brooklaw.edu/</t>
  </si>
  <si>
    <t>US,Brooks Institute of Photography,http://www.brooks.edu/</t>
  </si>
  <si>
    <t>US,Brown University,http://www.brown.edu/</t>
  </si>
  <si>
    <t>US,Brunswick Community College,http://www.brunswickcc.edu/</t>
  </si>
  <si>
    <t>US,Bryan College,http://www.bryan.edu/</t>
  </si>
  <si>
    <t>US,Bryant and Stratton College,http://www.bryantstratton.edu/</t>
  </si>
  <si>
    <t>US,Bryant University,http://www.bryant.edu/</t>
  </si>
  <si>
    <t>US,Bryn Athyn College of the New Church,http://www.newchurch.edu/college/</t>
  </si>
  <si>
    <t>US,Bryn Mawr College,http://www.brynmawr.edu/</t>
  </si>
  <si>
    <t>US,Bucknell University,http://www.bucknell.edu/</t>
  </si>
  <si>
    <t>US,Buena Vista University,http://www.bvu.edu/</t>
  </si>
  <si>
    <t>US,Burlington College,http://www.burlcol.edu/</t>
  </si>
  <si>
    <t>US,Butler University,http://www.butler.edu/</t>
  </si>
  <si>
    <t>US,Cabrini College,http://www.cabrini.edu/</t>
  </si>
  <si>
    <t>US,Caldwell College,http://www.caldwell.edu/</t>
  </si>
  <si>
    <t>US,California Baptist College,http://www.calbaptist.edu/</t>
  </si>
  <si>
    <t>US,California Coast University,http://www.calcoast.edu/</t>
  </si>
  <si>
    <t>US,California College for Health Sciences,http://www.cchs.edu/</t>
  </si>
  <si>
    <t>US,California College of Arts and Crafts,http://www.ccac-art.edu/</t>
  </si>
  <si>
    <t>US,California College of Podiatric Medicine,http://www.ccpm.edu/</t>
  </si>
  <si>
    <t>US,California College San Diego,http://www.cc-sd.edu/</t>
  </si>
  <si>
    <t>US,California Institute of Integral Studies,http://www.ciis.edu/</t>
  </si>
  <si>
    <t>US,California Institute of Technology,http://www.caltech.edu/</t>
  </si>
  <si>
    <t>US,California Institute of the Arts,http://www.calarts.edu/</t>
  </si>
  <si>
    <t>US,California Lutheran University,http://www.callutheran.edu/</t>
  </si>
  <si>
    <t>US,California Maritime Academy,http://www.csum.edu/</t>
  </si>
  <si>
    <t>US,California Polytechnic State University - San Luis Obispo,http://www.calpoly.edu/</t>
  </si>
  <si>
    <t>US,California School of Professional Psychology - Berkley/Alameda,http://www.cspp.edu/</t>
  </si>
  <si>
    <t>US,California School of Professional Psychology - Fresno,http://www.cspp.edu/catalog/8.htm</t>
  </si>
  <si>
    <t>US,California School of Professional Psychology - Los Angels,http://www.cspp.edu/catalog/9.htm</t>
  </si>
  <si>
    <t>US,California School of Professional Psychology - San Diego,http://www.cspp.edu/catalog/10.htm</t>
  </si>
  <si>
    <t>US,California State Polytechnic University - Pomona,http://www.csupomona.edu/</t>
  </si>
  <si>
    <t>US,"California State University, Bakersfield",http://www.csubak.edu/</t>
  </si>
  <si>
    <t>US,"California State University, Channel Islands",http://www.csuci.edu/</t>
  </si>
  <si>
    <t>US,"California State University, Chico",http://www.csuchico.edu/</t>
  </si>
  <si>
    <t>US,"California State University, Dominguez Hills",http://www.csudh.edu/</t>
  </si>
  <si>
    <t>US,"California State University, Fresno",http://www.csufresno.edu/</t>
  </si>
  <si>
    <t>US,"California State University, Fullerton",http://www.fullerton.edu/</t>
  </si>
  <si>
    <t>US,"California State University, Hayward",http://www.csuhayward.edu/</t>
  </si>
  <si>
    <t>US,"California State University, Long Beach",http://www.csulb.edu/</t>
  </si>
  <si>
    <t>US,"California State University, Los Angeles",http://www.calstatela.edu/</t>
  </si>
  <si>
    <t>US,"California State University, Monterey Bay",http://www.monterey.edu/</t>
  </si>
  <si>
    <t>US,"California State University, Northridge",http://www.csun.edu/</t>
  </si>
  <si>
    <t>US,"California State University, Sacramento",http://www.csus.edu/</t>
  </si>
  <si>
    <t>US,"California State University, San Bernadino",http://www.csusb.edu/</t>
  </si>
  <si>
    <t>US,"California State University, San Marcos",http://www.csusm.edu/</t>
  </si>
  <si>
    <t>US,"California State University, Stanislaus",http://www.csustan.edu/</t>
  </si>
  <si>
    <t>US,California University of Management and Sciences,http://cauniversity.edu.cufce.org/</t>
  </si>
  <si>
    <t>US,California University of Pennsylvania,http://www.cup.edu/</t>
  </si>
  <si>
    <t>US,California Western School of Law,http://www.cwsl.edu/</t>
  </si>
  <si>
    <t>US,Calumet College of St. Joseph,http://www.ccsj.edu/</t>
  </si>
  <si>
    <t>US,Calvary Bible College,http://www.calvary.edu/</t>
  </si>
  <si>
    <t>US,Calvin College,http://www.calvin.edu/</t>
  </si>
  <si>
    <t>US,Cambridge College,http://www.cambridge.edu/</t>
  </si>
  <si>
    <t>US,Cameron University,http://www.cameron.edu/</t>
  </si>
  <si>
    <t>US,Campbellsville College,http://www.campbellsvil.edu/</t>
  </si>
  <si>
    <t>US,Campbell University,http://www.campbell.edu/</t>
  </si>
  <si>
    <t>US,Canisius College,http://www.canisius.edu/</t>
  </si>
  <si>
    <t>US,Capella University,http://www.capella.edu/</t>
  </si>
  <si>
    <t>US,Capital University,http://www.capital.edu/</t>
  </si>
  <si>
    <t>US,Capital University Law School,http://www.law.capital.edu/</t>
  </si>
  <si>
    <t>US,Capitol College,http://www.capitol-college.edu/</t>
  </si>
  <si>
    <t>US,Cardinal Stritch University,http://www.stritch.edu/</t>
  </si>
  <si>
    <t>US,Carleton College,http://www.carleton.edu/</t>
  </si>
  <si>
    <t>US,Carlos Albizu University,http://www.albizu.edu/</t>
  </si>
  <si>
    <t>US,Carlow College,http://www.carlow.edu/</t>
  </si>
  <si>
    <t>US,Carnegie Mellon University,http://www.cmu.edu/</t>
  </si>
  <si>
    <t>US,Carroll College Helena,http://www.carroll.edu/</t>
  </si>
  <si>
    <t>US,Carroll College Waukesha,http://www.cc.edu/</t>
  </si>
  <si>
    <t>US,Carson-Newman College,http://www.cn.edu/</t>
  </si>
  <si>
    <t>US,Carthage College,http://www.carthage.edu/</t>
  </si>
  <si>
    <t>US,Case Western Reserve University,http://www.cwru.edu/</t>
  </si>
  <si>
    <t>US,Castleton State College,http://www.csc.vsc.edu/</t>
  </si>
  <si>
    <t>US,Catawba College,http://www.catawba.edu/</t>
  </si>
  <si>
    <t>US,Catholic Theological Union,http://www.ctu.edu/</t>
  </si>
  <si>
    <t>US,Cedar Crest College,http://www.cedarcrest.edu/</t>
  </si>
  <si>
    <t>US,Cedarville College,http://www.cedarville.edu/</t>
  </si>
  <si>
    <t>US,Centenary College,http://www.centenarycollege.edu/</t>
  </si>
  <si>
    <t>US,Centenary College of Louisiana,http://www.centenary.edu/</t>
  </si>
  <si>
    <t>US,Center for Humanistic Studies,http://www.humanpsych.edu/</t>
  </si>
  <si>
    <t>US,Central Baptist College,http://www.cbc.edu/</t>
  </si>
  <si>
    <t>US,Central Bible College,http://www.cbcag.edu/</t>
  </si>
  <si>
    <t>US,Central Christian College of the Bible,http://www.cccb.edu/</t>
  </si>
  <si>
    <t>US,Central College,http://www.central.edu/</t>
  </si>
  <si>
    <t>US,Central Connecticut State University,http://www.ccsu.edu/</t>
  </si>
  <si>
    <t>US,Central Methodist College,http://www.cmc.edu/</t>
  </si>
  <si>
    <t>US,Central Michigan University,http://www.cmich.edu/</t>
  </si>
  <si>
    <t>US,Central State University,http://www.centralstate.edu/</t>
  </si>
  <si>
    <t>US,Central Washington University,http://www.cwu.edu/</t>
  </si>
  <si>
    <t>US,Centre College,http://www.centre.edu/</t>
  </si>
  <si>
    <t>US,Chadron State College,http://www.csc.edu/</t>
  </si>
  <si>
    <t>US,Chaminade University of Honolulu,http://www.chaminade.edu/</t>
  </si>
  <si>
    <t>US,Champlain College,http://www.champlain.edu/</t>
  </si>
  <si>
    <t>US,Chapman University,http://www.chapman.edu/</t>
  </si>
  <si>
    <t>US,Charles R. Drew University of Medicine and Science,http://www.cdrewu.edu/</t>
  </si>
  <si>
    <t>US,Charleston Southern University,http://www.csuniv.edu/</t>
  </si>
  <si>
    <t>US,Charter Oak State College,http://www.cosc.edu/</t>
  </si>
  <si>
    <t>US,Chatham College,http://www.chatham.edu/</t>
  </si>
  <si>
    <t>US,Chestnut Hill College,http://www.chc.edu/</t>
  </si>
  <si>
    <t>US,Cheyney University of Pennsylvania,http://www.cheyney.edu/</t>
  </si>
  <si>
    <t>US,Chicago State University,http://www.csu.edu/</t>
  </si>
  <si>
    <t>US,Chowan College,http://www.chowan.edu/</t>
  </si>
  <si>
    <t>US,Christendom College,http://www.christendom.edu/</t>
  </si>
  <si>
    <t>US,Christian Brothers University,http://www.cbu.edu/</t>
  </si>
  <si>
    <t>US,Christian Heritage College,http://www.christianheritage.edu/</t>
  </si>
  <si>
    <t>US,Christopher Newport University,http://www.cnu.edu/</t>
  </si>
  <si>
    <t>US,Circleville Bible College,http://www.biblecollege.edu/</t>
  </si>
  <si>
    <t>US,City University,http://www.cityu.edu/</t>
  </si>
  <si>
    <t>US,"City University of New York, Bernard M. Baruch College",http://www.baruch.cuny.edu/</t>
  </si>
  <si>
    <t>US,"City University of New York, Brooklyn College",http://www.brooklyn.cuny.edu/</t>
  </si>
  <si>
    <t>US,"City University of New York, City College",http://www.ccny.cuny.edu/</t>
  </si>
  <si>
    <t>US,"City University of New York, College of Staten Island",http://www.csi.cuny.edu/</t>
  </si>
  <si>
    <t>US,City University of New York (CUNY) System,http://www.cuny.edu/</t>
  </si>
  <si>
    <t>US,"City University of New York, Graduate School and University Center",http://www.gc.cuny.edu/</t>
  </si>
  <si>
    <t>US,"City University of New York, Hunter College",http://www.hunter.cuny.edu/</t>
  </si>
  <si>
    <t>US,"City University of New York, John Jay College of Criminal Justice",http://www.jjay.cuny.edu/</t>
  </si>
  <si>
    <t>US,"City University of New York, Lehman College",http://www.lehman.cuny.edu/</t>
  </si>
  <si>
    <t>US,"City University of New York, Medgar Evers College",http://www.mec.cuny.edu/</t>
  </si>
  <si>
    <t>US,City University of New York Medical School / Sophie Davis School of Biomedical Education,http://med.cuny.edu/</t>
  </si>
  <si>
    <t>US,"City University of New York, New York City Technical College",http://www.nyctc.cuny.edu/</t>
  </si>
  <si>
    <t>US,"City University of New York, Queens College",http://www.qc.edu/</t>
  </si>
  <si>
    <t>US,"City University of New York, School of Law at Queens College",http://www.law.cuny.edu/</t>
  </si>
  <si>
    <t>US,"City University of New York, York College",http://www.york.cuny.edu/</t>
  </si>
  <si>
    <t>US,Claflin College,http://www.scicu.org/claflin/</t>
  </si>
  <si>
    <t>US,Claremont Graduate University,http://www.cgu.edu/</t>
  </si>
  <si>
    <t>US,Claremont Lincoln University,http://www.claremontlincoln.org/</t>
  </si>
  <si>
    <t>US,Claremont McKenna College,http://www.mckenna.edu/</t>
  </si>
  <si>
    <t>US,Clarion University,http://www.clarion.edu/</t>
  </si>
  <si>
    <t>US,Clark Atlanta University,http://www.cau.edu/</t>
  </si>
  <si>
    <t>US,Clarke College,http://www.clarke.edu/</t>
  </si>
  <si>
    <t>US,Clarkson College,http://www.clarksoncollege.edu/</t>
  </si>
  <si>
    <t>US,Clarkson University,http://www.clarkson.edu/</t>
  </si>
  <si>
    <t>US,Clark University,http://www.clarku.edu/</t>
  </si>
  <si>
    <t>US,Clayton College &amp; State University,http://www.clayton.edu/</t>
  </si>
  <si>
    <t>US,Clearwater Christian College,http://www.clearwater.edu/</t>
  </si>
  <si>
    <t>US,Cleary College,http://www.cleary.edu/</t>
  </si>
  <si>
    <t>US,Clemson University,http://www.clemson.edu/</t>
  </si>
  <si>
    <t>US,"Cleveland Chiropractic College, Kansas City",http://www.clevelandchiropractic.edu/</t>
  </si>
  <si>
    <t>US,"Cleveland Chiropractic College, Los Angeles",http://www.clevelandchiropractic.edu/</t>
  </si>
  <si>
    <t>US,Cleveland Institute of Art,http://www.cia.edu/</t>
  </si>
  <si>
    <t>US,Cleveland Institute of Music,http://www.cim.edu/</t>
  </si>
  <si>
    <t>US,Cleveland State University,http://www.csuohio.edu/</t>
  </si>
  <si>
    <t>US,Coastal Carolina University,http://www.coastal.edu/</t>
  </si>
  <si>
    <t>US,Coe College,http://www.coe.edu/</t>
  </si>
  <si>
    <t>US,Cogswell Polytechnical College,http://www.cogswell.edu/</t>
  </si>
  <si>
    <t>US,Coker College,http://www.coker.edu/</t>
  </si>
  <si>
    <t>US,Colby College,http://www.colby.edu/</t>
  </si>
  <si>
    <t>US,Colby-Sawyer College,http://www.colby-sawyer.edu/</t>
  </si>
  <si>
    <t>US,Coleman College,http://www.coleman.edu/</t>
  </si>
  <si>
    <t>US,Colgate University,http://www.colgate.edu/</t>
  </si>
  <si>
    <t>US,"CollegeAmerica, Denver",http://www.collegeamerica.edu/</t>
  </si>
  <si>
    <t>US,"CollegeAmerica, Phoenix",http://www.collegeamerica.edu/</t>
  </si>
  <si>
    <t>US,College for Creative Studies,http://www.ccscad.edu/</t>
  </si>
  <si>
    <t>US,College for Financial Planning,http://www.fp.edu/</t>
  </si>
  <si>
    <t>US,College for Lifelong Learning,http://www.cll.edu/</t>
  </si>
  <si>
    <t>US,College Misericordia,http://www.miseri.edu/</t>
  </si>
  <si>
    <t>US,College of Aeronautics,http://www.aero.edu/</t>
  </si>
  <si>
    <t>US,College of Charleston,http://www.cofc.edu/</t>
  </si>
  <si>
    <t>US,College of DuPage,http://www.cod.edu/</t>
  </si>
  <si>
    <t>US,College of Idaho,http://www.collegeofidaho.edu/</t>
  </si>
  <si>
    <t>US,College of Mount St. Joseph,http://www.msj.edu/</t>
  </si>
  <si>
    <t>US,College of Mount St. Vincent,http://www.cmsv.edu/</t>
  </si>
  <si>
    <t>US,College of New Rochelle,http://www.cnr.edu/</t>
  </si>
  <si>
    <t>US,College of Notre Dame,http://www.cnd.edu/</t>
  </si>
  <si>
    <t>US,College of Notre Dame of Maryland,http://www.ndm.edu/</t>
  </si>
  <si>
    <t>US,College of Osteopathic Medicine of the Pacific (Western University of Health Sciences),http://www.westernu.edu/comp.html</t>
  </si>
  <si>
    <t>US,College of St. Benedict and St. John's University,http://www.csbsju.edu/</t>
  </si>
  <si>
    <t>US,College of St. Catherine,http://www.stkate.edu/</t>
  </si>
  <si>
    <t>US,College of St. Elizabeth,http://www.st-elizabeth.edu/</t>
  </si>
  <si>
    <t>US,College of St. Joseph,http://www.csj.edu/</t>
  </si>
  <si>
    <t>US,College of St. Mary,http://www.csm.edu/</t>
  </si>
  <si>
    <t>US,College of St. Rose,http://www.strose.edu/</t>
  </si>
  <si>
    <t>US,College of St. Scholastica,http://www.css.edu/</t>
  </si>
  <si>
    <t>US,College of the Atlantic,http://www.coa.edu/</t>
  </si>
  <si>
    <t>US,College of the Holy Cross,http://www.holycross.edu/</t>
  </si>
  <si>
    <t>US,College of the Ozarks,http://www.cofo.edu/</t>
  </si>
  <si>
    <t>US,College of Visual Arts,http://www.cva.edu/</t>
  </si>
  <si>
    <t>US,College of William and Mary,http://www.wm.edu/</t>
  </si>
  <si>
    <t>US,Colorado Christian University,http://www.ccu.edu/</t>
  </si>
  <si>
    <t>US,Colorado College,http://www.cc.colorado.edu/</t>
  </si>
  <si>
    <t>US,Colorado School of Mines,http://www.mines.edu/</t>
  </si>
  <si>
    <t>US,Colorado State University,http://www.colostate.edu/</t>
  </si>
  <si>
    <t>US,Colorado State University-Pueblo,http://www.colostate-pueblo.edu/</t>
  </si>
  <si>
    <t>US,Colorado Technical University,http://www.colotechu.edu/</t>
  </si>
  <si>
    <t>US,Columbia College Chicago,http://www.colum.edu/</t>
  </si>
  <si>
    <t>US,Columbia College Hollywood,http://www.columbiacollege.edu/</t>
  </si>
  <si>
    <t>US,Columbia College of Missouri,http://www.ccis.edu/</t>
  </si>
  <si>
    <t>US,Columbia College South Carolina,http://www.colacoll.edu/</t>
  </si>
  <si>
    <t>US,Columbia Commonwealth University,http://www.ccwu.edu/</t>
  </si>
  <si>
    <t>US,Columbia International University,http://www.ciu.edu/</t>
  </si>
  <si>
    <t>US,Columbia Southern University,http://www.columbiasouthern.edu/</t>
  </si>
  <si>
    <t>US,Columbia Union College,http://www.cuc.edu/</t>
  </si>
  <si>
    <t>US,Columbia University,http://www.columbia.edu/</t>
  </si>
  <si>
    <t>US,Columbus College of Art and Design,http://www.ccad.edu/</t>
  </si>
  <si>
    <t>US,Columbus State University,http://www.colstate.edu/</t>
  </si>
  <si>
    <t>US,Columbus University,http://www.columbusu.com/</t>
  </si>
  <si>
    <t>US,Community College of Denver,http://ccd.rightchoice.org/</t>
  </si>
  <si>
    <t>US,Concord College,http://www.concord.edu/</t>
  </si>
  <si>
    <t>US,"Concordia College, Ann Arbor",http://www.ccaa.edu/</t>
  </si>
  <si>
    <t>US,"Concordia College, Bronxville",http://www.concordia-ny.edu/</t>
  </si>
  <si>
    <t>US,"Concordia College, Moorhead",http://www.cord.edu/</t>
  </si>
  <si>
    <t>US,"Concordia College, Selma",http://higher-ed.lcms.org/selma.htm</t>
  </si>
  <si>
    <t>US,"Concordia College, Seward",http://www.cune.edu/</t>
  </si>
  <si>
    <t>US,"Concordia College, St. Paul",http://www.csp.edu/</t>
  </si>
  <si>
    <t>US,"Concordia University, Austin",http://www.concordia.edu/</t>
  </si>
  <si>
    <t>US,"Concordia University, Irvine",http://www.cui.edu/</t>
  </si>
  <si>
    <t>US,"Concordia University, Mequon",http://www.cuw.edu/</t>
  </si>
  <si>
    <t>US,"Concordia University, Portland",http://www.cu-portland.edu/</t>
  </si>
  <si>
    <t>US,"Concordia University, River Forest",http://www.curf.edu/</t>
  </si>
  <si>
    <t>US,Connecticut College,http://www.conncoll.edu/</t>
  </si>
  <si>
    <t>US,Converse College,http://www.converse.edu/</t>
  </si>
  <si>
    <t>US,Conway School of Landscape Design,http://www.csld.edu/</t>
  </si>
  <si>
    <t>US,Coppin State College,http://www.coppin.edu/</t>
  </si>
  <si>
    <t>US,Cornell College,http://www.cornell-iowa.edu/</t>
  </si>
  <si>
    <t>US,Cornell University,http://www.cornell.edu/</t>
  </si>
  <si>
    <t>US,Cornish College of the Arts,http://www.cornish.edu/</t>
  </si>
  <si>
    <t>US,Cosmopolitan University,http://www.cosmoedu.net/</t>
  </si>
  <si>
    <t>US,Covenant College,http://www.covenant.edu/</t>
  </si>
  <si>
    <t>US,Cranbrook Academy of Art,http://www.cranbrookart.edu/</t>
  </si>
  <si>
    <t>US,Creighton University,http://www.creighton.edu/</t>
  </si>
  <si>
    <t>US,Crichton College,http://www.crichton.edu/</t>
  </si>
  <si>
    <t>US,Crown College,http://www.crown.edu/</t>
  </si>
  <si>
    <t>US,Culver-Stockton College,http://www.culver.edu/</t>
  </si>
  <si>
    <t>US,Cumberland College,http://www.cumber.edu/</t>
  </si>
  <si>
    <t>US,Cumberland University,http://www.cumberland.edu/</t>
  </si>
  <si>
    <t>US,Curry College,http://www.curry.edu:8080/</t>
  </si>
  <si>
    <t>US,Daemen College,http://www.daemen.edu/</t>
  </si>
  <si>
    <t>US,Dakota State University,http://www.dsu.edu/</t>
  </si>
  <si>
    <t>US,Dakota Wesleyan University,http://www.dwu.edu/</t>
  </si>
  <si>
    <t>US,Dallas Baptist University,http://www.dbu.edu/</t>
  </si>
  <si>
    <t>US,Dallas Christian College,http://www.dallas.edu/</t>
  </si>
  <si>
    <t>US,Dana College,http://www.dana.edu/</t>
  </si>
  <si>
    <t>US,Daniel Webster College,http://www.dwc.edu/</t>
  </si>
  <si>
    <t>US,Danville Area Community College,http://www.dacc.cc.il.us/</t>
  </si>
  <si>
    <t>US,Dartmouth College,http://www.dartmouth.edu/</t>
  </si>
  <si>
    <t>US,Darton College,http://www.darton.edu/</t>
  </si>
  <si>
    <t>US,"Davenport College of Business, Grand Rapids",http://www.davenport.edu/grandrapids/</t>
  </si>
  <si>
    <t>US,"Davenport College of Business, Kalamazoo",http://www.davenport.edu/kalamazoo/</t>
  </si>
  <si>
    <t>US,"Davenport College of Business, Lansing",http://www.davenport.edu/lansing/</t>
  </si>
  <si>
    <t>US,Davidson College,http://www.davidson.edu/</t>
  </si>
  <si>
    <t>US,Davis and Elkins College,http://www.dne.edu/</t>
  </si>
  <si>
    <t>US,Deaconess College of Nursing,http://www.deaconess.edu/</t>
  </si>
  <si>
    <t>US,Delaware State University,http://www.dsc.edu/</t>
  </si>
  <si>
    <t>US,Delaware Valley College,http://www.devalcol.edu/</t>
  </si>
  <si>
    <t>US,Delta International University,http://www.delta-university.org/</t>
  </si>
  <si>
    <t>US,Delta State University,http://www.deltast.edu/</t>
  </si>
  <si>
    <t>US,Denison University,http://www.denison.edu/</t>
  </si>
  <si>
    <t>US,Denver Paralegal Institute,http://www.paralegal-education.com/campuses/cosprings/</t>
  </si>
  <si>
    <t>US,Denver Technical College,http://www.dtc.edu/</t>
  </si>
  <si>
    <t>US,DePaul University,http://www.depaul.edu/</t>
  </si>
  <si>
    <t>US,DePauw University,http://www.depauw.edu/</t>
  </si>
  <si>
    <t>US,DeSales University,http://www.desales.edu/</t>
  </si>
  <si>
    <t>US,Design Institute of San Diego,http://www.disd.edu/</t>
  </si>
  <si>
    <t>US,Detroit College of Business,http://www.dcb.edu/</t>
  </si>
  <si>
    <t>US,Detroit College of Business - Flint,http://www.davenport.edu/e3front.dll?durki=1283</t>
  </si>
  <si>
    <t>US,Detroit College of Business - Warren,http://www.davenport.edu/e3front.dll?durki=108</t>
  </si>
  <si>
    <t>US,Detroit College of Law,http://www.dcl.edu/</t>
  </si>
  <si>
    <t>US,"DeVry Institute of Technology, Chicago",http://www.chi.devry.edu/</t>
  </si>
  <si>
    <t>US,"DeVry Institute of Technology, Columbus",http://www.devrycols.edu/</t>
  </si>
  <si>
    <t>US,"DeVry Institute of Technology, Decatur",http://www.atl.devry.edu/</t>
  </si>
  <si>
    <t>US,"DeVry Institute of Technology, DuPage",http://www.dpg.devry.edu/</t>
  </si>
  <si>
    <t>US,"DeVry Institute of Technology, Irving",http://www.dal.devry.edu/</t>
  </si>
  <si>
    <t>US,"DeVry Institute of Technology, Kansas City",http://www.kc.devry.edu/</t>
  </si>
  <si>
    <t>US,"DeVry Institute of Technology, Phoenix",http://www.phx.devry.edu/</t>
  </si>
  <si>
    <t>US,"DeVry Institute of Technology, Pomona",http://www.pom.devry.edu/</t>
  </si>
  <si>
    <t>US,Dickinson College,http://www.dickinson.edu/</t>
  </si>
  <si>
    <t>US,Dickinson State University,http://www.dsu.nodak.edu/</t>
  </si>
  <si>
    <t>US,Dillard University,http://www.dillard.edu/</t>
  </si>
  <si>
    <t>US,Divine Word College,http://www.svd.org</t>
  </si>
  <si>
    <t>US,Dixie College,http://www.dixie.edu/</t>
  </si>
  <si>
    <t>US,Doane College,http://www.doane.edu/</t>
  </si>
  <si>
    <t>US,Dominican College,http://www.dc.edu/</t>
  </si>
  <si>
    <t>US,Dominican College of San Rafael,http://www.dominican.edu/</t>
  </si>
  <si>
    <t>US,Dominican School of Philosophy and Theology,http://www.dspt.edu/</t>
  </si>
  <si>
    <t>US,Dominican University,http://www.dom.edu/</t>
  </si>
  <si>
    <t>US,Dominion College,http://www.dominion.edu/</t>
  </si>
  <si>
    <t>US,Dordt College,http://www.dordt.edu/</t>
  </si>
  <si>
    <t>US,Dowling College,http://www.dowling.edu/</t>
  </si>
  <si>
    <t>US,Drake University,http://www.drake.edu/</t>
  </si>
  <si>
    <t>US,Drew University,http://www.drew.edu/</t>
  </si>
  <si>
    <t>US,Drexel University,http://www.drexel.edu/</t>
  </si>
  <si>
    <t>US,Drury College,http://www.drury.edu/</t>
  </si>
  <si>
    <t>US,Duke University,http://www.duke.edu/</t>
  </si>
  <si>
    <t>US,Duluth Business University,http://www.dbumn.edu/</t>
  </si>
  <si>
    <t>US,Duquesne University,http://www.duq.edu/</t>
  </si>
  <si>
    <t>US,D'Youville College,http://www.dyc.edu/</t>
  </si>
  <si>
    <t>US,Earlham College,http://www.earlham.edu/</t>
  </si>
  <si>
    <t>US,EarthNet Institute,http://www.eni.edu/</t>
  </si>
  <si>
    <t>US,East Carolina University,http://www.ecu.edu/</t>
  </si>
  <si>
    <t>US,East Central University,http://www.ecok.edu/</t>
  </si>
  <si>
    <t>US,Eastern College,http://www.eastern.edu/</t>
  </si>
  <si>
    <t>US,Eastern Connecticut State University,http://www.ecsu.ctstateu.edu/</t>
  </si>
  <si>
    <t>US,Eastern Conservatory of Music,http://easternconservatory-music.org/</t>
  </si>
  <si>
    <t>US,Eastern Illinois University,http://www.eiu.edu/</t>
  </si>
  <si>
    <t>US,Eastern Kentucky University,http://www.eku.edu/</t>
  </si>
  <si>
    <t>US,Eastern Mennonite University,http://www.emu.edu/</t>
  </si>
  <si>
    <t>US,Eastern Michigan University,http://www.emich.edu/</t>
  </si>
  <si>
    <t>US,Eastern Nazarene College,http://www.enc.edu/</t>
  </si>
  <si>
    <t>US,Eastern New Mexico University,http://www.enmu.edu/</t>
  </si>
  <si>
    <t>US,Eastern Oregon University,http://www.eou.edu/</t>
  </si>
  <si>
    <t>US,Eastern Virginia Medical School,http://www.evms.edu/</t>
  </si>
  <si>
    <t>US,Eastern Washington University,http://www.ewu.edu/</t>
  </si>
  <si>
    <t>US,East Stroudsburg State University,http://www.esu.edu/</t>
  </si>
  <si>
    <t>US,East Tennessee State University,http://www.etsu.edu/</t>
  </si>
  <si>
    <t>US,East Texas Baptist University,http://www.etbu.edu/</t>
  </si>
  <si>
    <t>US,East-West University,http://www.eastwest.edu/</t>
  </si>
  <si>
    <t>US,Eckerd College,http://www.eckerd.edu/</t>
  </si>
  <si>
    <t>US,Edgewood College,http://www.edgewood.edu/</t>
  </si>
  <si>
    <t>US,Edinboro University of Pennsylvania,http://www.edinboro.edu/</t>
  </si>
  <si>
    <t>US,Edison Community College,http://www.edison.edu/</t>
  </si>
  <si>
    <t>US,Edward Waters College,http://www.ewc.edu/</t>
  </si>
  <si>
    <t>US,Elizabeth City State University,http://www.ecsu.edu/</t>
  </si>
  <si>
    <t>US,Elizabethtown College,http://www.etown.edu/</t>
  </si>
  <si>
    <t>US,Elmhurst College,http://www.elmhurst.edu/</t>
  </si>
  <si>
    <t>US,Elmira College,http://www.elmira.edu/</t>
  </si>
  <si>
    <t>US,Elms College,http://www.elms.edu/</t>
  </si>
  <si>
    <t>US,Elon College,http://www.elon.edu/</t>
  </si>
  <si>
    <t>US,Embry-Riddle Aeronautical University,http://www.embryriddle.edu/</t>
  </si>
  <si>
    <t>US,"Embry Riddle Aeronautical University, Prescott",http://www.prescott.erau.edu/</t>
  </si>
  <si>
    <t>US,Emerson College,http://www.emerson.edu/</t>
  </si>
  <si>
    <t>US,Emmanuel College,http://www.emmanuel.edu/</t>
  </si>
  <si>
    <t>US,Emmanuel College Georgia,http://www.emmanuel-college.edu/</t>
  </si>
  <si>
    <t>US,Emmaus Bible College,http://www.emmaus.edu/</t>
  </si>
  <si>
    <t>US,Emory &amp; Henry College,http://www.ehc.edu/</t>
  </si>
  <si>
    <t>US,Emory University,http://www.emory.edu/</t>
  </si>
  <si>
    <t>US,Emporia State University,http://www.emporia.edu/</t>
  </si>
  <si>
    <t>US,Erskine College,http://www.erskine.edu/</t>
  </si>
  <si>
    <t>US,Eugene Bible College,http://www.ebc.edu/</t>
  </si>
  <si>
    <t>US,Eureka College,http://www.eureka.edu/</t>
  </si>
  <si>
    <t>US,Evangel University,http://www.evangel.edu/</t>
  </si>
  <si>
    <t>US,Evergreen State College,http://www.evergreen.edu/</t>
  </si>
  <si>
    <t>US,Excel College,http://www.excelcollege.org/</t>
  </si>
  <si>
    <t>US,Excelsior College,http://www.regents.edu/</t>
  </si>
  <si>
    <t>US,Fairfield University,http://www.fairfield.edu/</t>
  </si>
  <si>
    <t>US,"Fairleigh Dickinson University, Florham-Madison Campus",http://www.fdu.edu/visitorcenter/fmwelcome.html</t>
  </si>
  <si>
    <t>US,"Fairleigh Dickinson University, Teaneck-Hackensack Campus",http://www.fdu.edu/visitorcenter/thwelcome.html</t>
  </si>
  <si>
    <t>US,Fairmont State College,http://www.fscwv.edu/</t>
  </si>
  <si>
    <t>US,Fashion Institute of New York,http://www.fitnyc.suny.edu/</t>
  </si>
  <si>
    <t>US,Faulkner University,http://www.faulkner.edu/</t>
  </si>
  <si>
    <t>US,Fayetteville State University,http://www.uncfsu.edu/</t>
  </si>
  <si>
    <t>US,Felician College,http://www.felician.edu/</t>
  </si>
  <si>
    <t>US,Ferris State University,http://www.ferris.edu/</t>
  </si>
  <si>
    <t>US,Ferrum College,http://www.ferrum.edu/</t>
  </si>
  <si>
    <t>US,Fielding Institute,http://www.fielding.edu/</t>
  </si>
  <si>
    <t>US,Finch University of Health Sciences - The Chicago Medical School,http://www.finchcms.edu/</t>
  </si>
  <si>
    <t>US,Finlandia University,http://www.finlandia.edu/</t>
  </si>
  <si>
    <t>US,Fisher College,http://www.fisher.edu/</t>
  </si>
  <si>
    <t>US,Fisk University,http://www.fisk.edu/</t>
  </si>
  <si>
    <t>US,Fitchburg State College,http://www.fsc.edu/</t>
  </si>
  <si>
    <t>US,Flagler College,http://www.flagler.edu/</t>
  </si>
  <si>
    <t>US,Florida Agricultural and Mechanical University,http://www.famu.edu/</t>
  </si>
  <si>
    <t>US,Florida Atlantic University,http://www.fau.edu/</t>
  </si>
  <si>
    <t>US,Florida Christian College,http://www.fcc.edu/</t>
  </si>
  <si>
    <t>US,Florida Community College at Jacksonville,http://www.fccj.org/</t>
  </si>
  <si>
    <t>US,Florida Gulf Coast University,http://www.fgcu.edu/</t>
  </si>
  <si>
    <t>US,Florida Institute of Technology,http://www.fit.edu/</t>
  </si>
  <si>
    <t>US,Florida International University,http://www.fiu.edu/</t>
  </si>
  <si>
    <t>US,Florida Memorial College,http://www.fmc.edu/</t>
  </si>
  <si>
    <t>US,"Florida Metropolitan University, Fort Lauderdale College",http://www.fmu.edu/784/f-784.htm</t>
  </si>
  <si>
    <t>US,"Florida Metropolitan University, Tampa College",http://www.fmu.edu/762/f-762.htm</t>
  </si>
  <si>
    <t>US,"Florida Metropolitan University, Tampa College Brandon",http://www.fmu.edu/764/f-764.htm</t>
  </si>
  <si>
    <t>US,"Florida Metropolitan University, Tampa College Lakeland",http://www.fmu.edu/765/f-765.htm</t>
  </si>
  <si>
    <t>US,Florida Southern College,http://www.flsouthern.edu/</t>
  </si>
  <si>
    <t>US,Florida State University,http://www.fsu.edu/</t>
  </si>
  <si>
    <t>US,Florida University of Medicine,http://www.fuom.us/</t>
  </si>
  <si>
    <t>US,Fontbonne College,http://www.fontbonne.edu/</t>
  </si>
  <si>
    <t>US,Foothill-De Anza Community College District,http://www.fhda.edu/</t>
  </si>
  <si>
    <t>US,Fordham University,http://www.fordham.edu/</t>
  </si>
  <si>
    <t>US,Forest Institute of Professional Psychology,http://www.forestinstitute.org/</t>
  </si>
  <si>
    <t>US,Fort Hays State University,http://www.fhsu.edu/</t>
  </si>
  <si>
    <t>US,Fort Lewis College,http://www.fortlewis.edu/</t>
  </si>
  <si>
    <t>US,Fort Valley State College,http://www.fvsc.peachnet.edu/</t>
  </si>
  <si>
    <t>US,Framingham State College,http://www.framingham.edu/</t>
  </si>
  <si>
    <t>US,Franciscan School of Theology,http://www.fst.edu/</t>
  </si>
  <si>
    <t>US,Franciscan University of Steubenville,http://www.franuniv.edu/</t>
  </si>
  <si>
    <t>US,Francis Marion University,http://www.fmarion.edu/</t>
  </si>
  <si>
    <t>US,Franklin and Marshall College,http://www.fandm.edu/</t>
  </si>
  <si>
    <t>US,Franklin College,http://www.franklincoll.edu/</t>
  </si>
  <si>
    <t>US,Franklin Pierce College,http://www.fpc.edu/</t>
  </si>
  <si>
    <t>US,Franklin Pierce Law Center,http://www.fplc.edu/</t>
  </si>
  <si>
    <t>US,Franklin University,http://www.franklin.edu/</t>
  </si>
  <si>
    <t>US,Franklin W. Olin College of Engineering,http://www.olin.edu/</t>
  </si>
  <si>
    <t>US,Frank Lloyd Wright School of Architecture,http://www.taliesin.edu/</t>
  </si>
  <si>
    <t>US,Fred Hutchinson Cancer Research Center,http://www.fhcrc.org/</t>
  </si>
  <si>
    <t>US,Freed-Hardeman University,http://www.fhu.edu/</t>
  </si>
  <si>
    <t>US,Free University (Virginia Theological University),http://www.vtu.edu/</t>
  </si>
  <si>
    <t>US,Free Will Baptist Bible College,http://www.fwbbc.edu/</t>
  </si>
  <si>
    <t>US,Fresno City College,http://www.fresnocitycollege.edu/</t>
  </si>
  <si>
    <t>US,Fresno Pacific University,http://www.fresno.edu/</t>
  </si>
  <si>
    <t>US,Friends University,http://www.friends.edu/</t>
  </si>
  <si>
    <t>US,Frostburg State University,http://www.fsu.umd.edu/</t>
  </si>
  <si>
    <t>US,Full Sail University,http://www.fullsail.com/</t>
  </si>
  <si>
    <t>US,Furman University,http://www.furman.edu/</t>
  </si>
  <si>
    <t>US,Gallaudet University,http://www.gallaudet.edu/</t>
  </si>
  <si>
    <t>US,Gannon University,http://www.gannon.edu/</t>
  </si>
  <si>
    <t>US,Gardner Webb University,http://www.gardner-webb.edu/</t>
  </si>
  <si>
    <t>US,Gemological Institute of America,http://www.gia.edu/</t>
  </si>
  <si>
    <t>US,Geneva College,http://www.geneva.edu/</t>
  </si>
  <si>
    <t>US,George Fox University,http://www.georgefox.edu/</t>
  </si>
  <si>
    <t>US,George Mason University,http://www.gmu.edu/</t>
  </si>
  <si>
    <t>US,Georgetown College,http://www.georgetowncollege.edu/</t>
  </si>
  <si>
    <t>US,Georgetown University,http://www.georgetown.edu/</t>
  </si>
  <si>
    <t>US,George Washington University,http://www.gwu.edu/</t>
  </si>
  <si>
    <t>US,George Wythe College,http://www.gwc.edu/</t>
  </si>
  <si>
    <t>US,Georgia Baptist College of Nursing,http://www.gbcn.edu/</t>
  </si>
  <si>
    <t>US,Georgia College &amp; State University,http://www.gcsu.edu/</t>
  </si>
  <si>
    <t>US,Georgia Health Sciences University,http://www.georgiahealth.edu/</t>
  </si>
  <si>
    <t>US,Georgia Institute of Technology,http://www.gatech.edu/</t>
  </si>
  <si>
    <t>US,Georgian Court College,http://www.georgian.edu/</t>
  </si>
  <si>
    <t>US,Georgia School of Professional Psychology,http://www.aspp.edu/ga.html</t>
  </si>
  <si>
    <t>US,Georgia Southern University,http://www.georgiasouthern.edu/</t>
  </si>
  <si>
    <t>US,Georgia Southwestern University,http://www.gsw.edu/</t>
  </si>
  <si>
    <t>US,Georgia State University,http://www.gsu.edu/</t>
  </si>
  <si>
    <t>US,Gettysburg College,http://www.gettysburg.edu/</t>
  </si>
  <si>
    <t>US,Glendale University College of Law,http://www.glendalelaw.edu/</t>
  </si>
  <si>
    <t>US,Glenville State College,http://www.glenville.wvnet.edu/</t>
  </si>
  <si>
    <t>US,Goddard College,http://www.goddard.edu/</t>
  </si>
  <si>
    <t>US,God's Bible School and College,http://www.gbs.edu/</t>
  </si>
  <si>
    <t>US,Golden Gate University,http://www.ggu.edu/</t>
  </si>
  <si>
    <t>US,Goldey-Beacom College,http://goldey.gbc.edu/</t>
  </si>
  <si>
    <t>US,Gonzaga University,http://www.gonzaga.edu/</t>
  </si>
  <si>
    <t>US,Gordon College,http://www.gordon.edu/</t>
  </si>
  <si>
    <t>US,Gordon Conwell Theological Seminary,http://www.gcts.edu/</t>
  </si>
  <si>
    <t>US,Goshen College,http://www.goshen.edu/</t>
  </si>
  <si>
    <t>US,Goucher College,http://www.goucher.edu/</t>
  </si>
  <si>
    <t>US,Governors State University,http://www.govst.edu/</t>
  </si>
  <si>
    <t>US,Grace Bible College,http://www.gbcol.edu/</t>
  </si>
  <si>
    <t>US,Grace College,http://www.grace.edu/</t>
  </si>
  <si>
    <t>US,Graceland College,http://www.graceland.edu/</t>
  </si>
  <si>
    <t>US,Grace University,http://www.graceu.edu/</t>
  </si>
  <si>
    <t>US,Graduate Theological Union,http://www.gtu.edu/</t>
  </si>
  <si>
    <t>US,Grambling State University,http://www.gram.edu/</t>
  </si>
  <si>
    <t>US,Grand Canyon University,http://www.gcu.edu/</t>
  </si>
  <si>
    <t>US,Grand Valley State University,http://www.gvsu.edu/</t>
  </si>
  <si>
    <t>US,Grand View College,http://www.gvc.edu/</t>
  </si>
  <si>
    <t>US,Grantham University,http://www.grantham.edu/</t>
  </si>
  <si>
    <t>US,Gratz College,http://www.gratzcollege.edu/</t>
  </si>
  <si>
    <t>US,Great Lakes Christian College,http://www.glcc.edu/</t>
  </si>
  <si>
    <t>US,Green Mountain College,http://www.greenmtn.edu/</t>
  </si>
  <si>
    <t>US,Greensboro College,http://www.gborocollege.edu/</t>
  </si>
  <si>
    <t>US,Greenville College,http://www.greenville.edu/</t>
  </si>
  <si>
    <t>US,Grinnell College,http://www.grinnell.edu/</t>
  </si>
  <si>
    <t>US,Grove City College,http://www.gcc.edu/</t>
  </si>
  <si>
    <t>US,Guilford College,http://www.guilford.edu/</t>
  </si>
  <si>
    <t>US,Gustavus Adolphus College,http://www.gac.edu/</t>
  </si>
  <si>
    <t>US,Gwynedd-Mercy College,http://www.gmc.edu/</t>
  </si>
  <si>
    <t>US,Hagerstown Community College,http://www.hcc.cc.md.us/</t>
  </si>
  <si>
    <t>US,Hamilton College,http://www.hamilton.edu/</t>
  </si>
  <si>
    <t>US,Hamilton Technical College,http://www.vca1.com/hamiltontech/</t>
  </si>
  <si>
    <t>US,Hamline University,http://www.hamline.edu/</t>
  </si>
  <si>
    <t>US,Hampden-Sydney College,http://www.hsc.edu/</t>
  </si>
  <si>
    <t>US,Hampshire College,http://www.hampshire.edu/</t>
  </si>
  <si>
    <t>US,Hampton College,http://www.hamptoncollege.org/</t>
  </si>
  <si>
    <t>US,Hampton University,http://www.hamptonu.edu/</t>
  </si>
  <si>
    <t>US,Hannibal-Lagrange College,http://www.hlg.edu/</t>
  </si>
  <si>
    <t>US,Hanover College,http://www.hanover.edu/</t>
  </si>
  <si>
    <t>US,Harding University,http://www.harding.edu/</t>
  </si>
  <si>
    <t>US,Harding University Graduate School of Religion,http://www.hugsr.edu/</t>
  </si>
  <si>
    <t>US,Hardin-Simmons University,http://www.hsutx.edu/</t>
  </si>
  <si>
    <t>US,Harrington Institute of Interior Design,http://www.interiordesign.edu/</t>
  </si>
  <si>
    <t>US,Harris-Stowe State University,http://www.hssu.edu/</t>
  </si>
  <si>
    <t>US,Hartford College for Women,http://www.hartford.edu/SchoolsColleges/HCW/HCW.html</t>
  </si>
  <si>
    <t>US,Hartford Graduate Center (Rensselaer at Hartford),http://www.hgc.edu/</t>
  </si>
  <si>
    <t>US,Hartwick College,http://www.hartwick.edu/</t>
  </si>
  <si>
    <t>US,Harvard University,http://www.harvard.edu/</t>
  </si>
  <si>
    <t>US,Harvey Mudd College,http://www.hmc.edu/</t>
  </si>
  <si>
    <t>US,Hastings College,http://www.hastings.edu/</t>
  </si>
  <si>
    <t>US,Haverford College,http://www.haverford.edu/</t>
  </si>
  <si>
    <t>US,Hawaii Pacific University,http://www.hpu.edu/</t>
  </si>
  <si>
    <t>US,Heartland Baptist Bible College,http://www.hbbc.edu/</t>
  </si>
  <si>
    <t>US,Hebrew College,http://www.hebrewcollege.edu/</t>
  </si>
  <si>
    <t>US,Heidelberg College,http://www.heidelberg.edu/</t>
  </si>
  <si>
    <t>US,Henderson State Univerisity,http://www.hsu.edu/</t>
  </si>
  <si>
    <t>US,Hendrix College,http://www.hendrix.edu/</t>
  </si>
  <si>
    <t>US,Heritage College,http://www.heritage.edu/</t>
  </si>
  <si>
    <t>US,Hesser College,http://www.hesser.edu/</t>
  </si>
  <si>
    <t>US,High Point University,http://www.highpoint.edu/</t>
  </si>
  <si>
    <t>US,Hilbert College,http://www.hilbert.edu/</t>
  </si>
  <si>
    <t>US,Hillsdale College,http://www.hillsdale.edu/</t>
  </si>
  <si>
    <t>US,Hiram College,http://www.hiram.edu/</t>
  </si>
  <si>
    <t>US,Hobart and William Smith Colleges,http://www.hws.edu/</t>
  </si>
  <si>
    <t>US,Hobe Sound Bible College,http://www.hsbc.edu/</t>
  </si>
  <si>
    <t>US,Hodges University,http://www.hodges.edu/</t>
  </si>
  <si>
    <t>US,Hofstra University,http://www.hofstra.edu/</t>
  </si>
  <si>
    <t>US,Hollins University,http://www.hollins.edu/</t>
  </si>
  <si>
    <t>US,Holy Apostles College,http://www.holy-apostles.org/</t>
  </si>
  <si>
    <t>US,Holy Cross College,http://www.hcc-nd.edu/</t>
  </si>
  <si>
    <t>US,Holy Family College,http://www.hfc.edu/</t>
  </si>
  <si>
    <t>US,Holy Names College,http://www.hnc.edu/</t>
  </si>
  <si>
    <t>US,Hood College,http://www.hood.edu/</t>
  </si>
  <si>
    <t>US,Hope College,http://www.hope.edu/</t>
  </si>
  <si>
    <t>US,Hope International University,http://www.hiu.edu/</t>
  </si>
  <si>
    <t>US,Houghton College,http://www.houghton.edu/</t>
  </si>
  <si>
    <t>US,Houston Baptist University,http://www.hbu.edu/</t>
  </si>
  <si>
    <t>US,Howard Payne University,http://www.hputx.edu/</t>
  </si>
  <si>
    <t>US,Howard University,http://www.howard.edu/</t>
  </si>
  <si>
    <t>US,Humboldt State University,http://www.humboldt.edu/</t>
  </si>
  <si>
    <t>US,Humphreys College,http://www.humphreys.edu/</t>
  </si>
  <si>
    <t>US,Huntington College,http://www.huntcol.edu/</t>
  </si>
  <si>
    <t>US,Huron University,http://www.huron.edu/</t>
  </si>
  <si>
    <t>US,Husson College,http://www.husson.edu/</t>
  </si>
  <si>
    <t>US,Huston-Tillotson College,http://www.htc.edu/</t>
  </si>
  <si>
    <t>US,ICI University,http://www.ici.edu/</t>
  </si>
  <si>
    <t>US,ICT College,http://www.ictcollege.edu/</t>
  </si>
  <si>
    <t>US,Idaho State University,http://www.isu.edu/</t>
  </si>
  <si>
    <t>US,Iglobal University,http://www.iglobal.edu/</t>
  </si>
  <si>
    <t>US,Illinois Benedictine University,http://www.ben.edu/</t>
  </si>
  <si>
    <t>US,Illinois College,http://www.ic.edu/</t>
  </si>
  <si>
    <t>US,Illinois College of Optometry,http://www.ico.edu/</t>
  </si>
  <si>
    <t>US,Illinois Institute of Technology,http://www.iit.edu/</t>
  </si>
  <si>
    <t>US,Illinois School of Professional Psychology - Chicago Campus,http://www.aspp.edu/ilch.html</t>
  </si>
  <si>
    <t>US,Illinois School of Professional Psychology - Meadows Campus,http://www.aspp.edu/ilrm.html</t>
  </si>
  <si>
    <t>US,Illinois State University,http://www.ilstu.edu/</t>
  </si>
  <si>
    <t>US,Illinois Valley Community College,http://www.ivcc.edu/</t>
  </si>
  <si>
    <t>US,Illinois Wesleyan University,http://www.iwu.edu/</t>
  </si>
  <si>
    <t>US,Immaculata University,http://www.immaculata.edu/</t>
  </si>
  <si>
    <t>US,IMPAC University,http://www.impacu.edu/</t>
  </si>
  <si>
    <t>US,Indiana Institute of Technologyy,http://www.indtech.edu/</t>
  </si>
  <si>
    <t>US,Indiana State University,http://www.indstate.edu/</t>
  </si>
  <si>
    <t>US,Indiana University at Bloomington,http://www.iub.edu/</t>
  </si>
  <si>
    <t>US,Indiana University at Kokomo,http://www.iuk.edu/</t>
  </si>
  <si>
    <t>US,Indiana University at South Bend,http://www.iusb.edu/</t>
  </si>
  <si>
    <t>US,Indiana University - East,http://www.iue.indiana.edu/</t>
  </si>
  <si>
    <t>US,Indiana University - Northwest,http://www.iun.indiana.edu/</t>
  </si>
  <si>
    <t>US,Indiana University of Pennsylvania,http://www.iup.edu/</t>
  </si>
  <si>
    <t>US,Indiana University-Purdue University at Columbus,http://www.columbus.iupui.edu/</t>
  </si>
  <si>
    <t>US,Indiana University-Purdue University at Fort Wayne,http://www.ipfw.edu/</t>
  </si>
  <si>
    <t>US,Indiana University-Purdue University at Indianapolis,http://www.iupui.edu/</t>
  </si>
  <si>
    <t>US,Indiana University - Southeast,http://www.ius.indiana.edu/</t>
  </si>
  <si>
    <t>US,Indiana University (System),http://www.indiana.edu/</t>
  </si>
  <si>
    <t>US,Indiana Wesleyan University,http://www.indwes.edu/</t>
  </si>
  <si>
    <t>US,Institute of Clinical Social Work,http://www.icsw.com/</t>
  </si>
  <si>
    <t>US,Institute of Paper Science and Technology,http://www.ipst.edu/</t>
  </si>
  <si>
    <t>US,Institute of Textile Technology,http://www.itt.edu/</t>
  </si>
  <si>
    <t>US,Institute of Transpersonal Psychology,http://www.itp.edu/</t>
  </si>
  <si>
    <t>US,IntelliTec College - Grand Junction,http://www.intelliteccollege.edu/</t>
  </si>
  <si>
    <t>US,International Academy of  Merchandising and Design Chicago,http://www.iamd.edu/</t>
  </si>
  <si>
    <t>US,International Academy of  Merchandising and Design Tampa,http://www.academy.edu/</t>
  </si>
  <si>
    <t>US,International Bible College,http://www.i-b-c.edu/</t>
  </si>
  <si>
    <t>US,International College,http://www.internationalcollege.edu/</t>
  </si>
  <si>
    <t>US,Iona College,http://www.iona.edu/</t>
  </si>
  <si>
    <t>US,Iowa State University of Science and Technology,http://www.iastate.edu/</t>
  </si>
  <si>
    <t>US,Iowa Wesleyan College,http://www.iwc.edu/</t>
  </si>
  <si>
    <t>US,Ithaca College,http://www.ithaca.edu/</t>
  </si>
  <si>
    <t>US,ITT Technical Institute Fort Wayne,http://www.itttech.edu/campus/</t>
  </si>
  <si>
    <t>US,ITT Technical Institute Indianapolis,http://www.itttech.edu/campus/</t>
  </si>
  <si>
    <t>US,ITT Technical Institute Maitland,http://www.itttech.edu/campus/</t>
  </si>
  <si>
    <t>US,ITT Technical Institute Portland,http://www.itttech.edu/campus/</t>
  </si>
  <si>
    <t>US,ITT Technical Institute West Covina,http://www.itttech.edu/campus/</t>
  </si>
  <si>
    <t>US,Jackson State University,http://www.jsums.edu/</t>
  </si>
  <si>
    <t>US,Jacksonville State University,http://www.jsu.edu/</t>
  </si>
  <si>
    <t>US,Jacksonville University,http://www.ju.edu/</t>
  </si>
  <si>
    <t>US,James Madison University,http://www.jmu.edu/</t>
  </si>
  <si>
    <t>US,Jamestown College,http://www.jc.edu/</t>
  </si>
  <si>
    <t>US,Jarvis Christian College,http://www.jarvis.edu/</t>
  </si>
  <si>
    <t>US,John Brown University,http://www.jbu.edu/</t>
  </si>
  <si>
    <t>US,John Carroll University,http://www.jcu.edu/</t>
  </si>
  <si>
    <t>US,John F. Kennedy University,http://www.jfku.edu/</t>
  </si>
  <si>
    <t>US,John Marshall Law School,http://www.jmls.edu/</t>
  </si>
  <si>
    <t>US,John Paul the Great Catholic University,http://www.jpcatholic.com/</t>
  </si>
  <si>
    <t>US,Johns Hopkins University,http://www.jhu.edu/</t>
  </si>
  <si>
    <t>US,Johnson Bible College,http://www.jbc.edu/</t>
  </si>
  <si>
    <t>US,Johnson County Community College,http://www.jccc.edu/</t>
  </si>
  <si>
    <t>US,Johnson C. Smith University,http://www.jcsu.edu/</t>
  </si>
  <si>
    <t>US,Johnson State College,http://www.jsc.vsc.edu/</t>
  </si>
  <si>
    <t>US,Johnson &amp; Wales University,http://www.jwu.edu/</t>
  </si>
  <si>
    <t>US,"Johnson &amp; Wales University, Charleston",http://www.jwu.edu/charles/camp_charles.htm</t>
  </si>
  <si>
    <t>US,John Wesley College,http://www.johnwesley.edu/</t>
  </si>
  <si>
    <t>US,Jones College,http://www.jones.edu/</t>
  </si>
  <si>
    <t>US,Jones International University,http://www.jonesinternational.edu/</t>
  </si>
  <si>
    <t>US,Judson College Elgin,http://www.judson-il.edu/</t>
  </si>
  <si>
    <t>US,Judson College Marion,http://home.judson.edu/</t>
  </si>
  <si>
    <t>US,Juniata College,http://www.juniata.edu/</t>
  </si>
  <si>
    <t>US,Kalamazoo College,http://www.kzoo.edu/</t>
  </si>
  <si>
    <t>US,Kankakee Community College,http://www.kankakeecc.org/</t>
  </si>
  <si>
    <t>US,Kansas City Art Institute,http://www.kcai.edu/</t>
  </si>
  <si>
    <t>US,Kansas State University,http://www.ksu.edu/</t>
  </si>
  <si>
    <t>US,Kansas Wesleyan University,http://www.kwu.edu/</t>
  </si>
  <si>
    <t>US,Kaplan University,http://www.kaplan.edu/</t>
  </si>
  <si>
    <t>US,Katharine Gibbs School,http://www.kgibbs.com/</t>
  </si>
  <si>
    <t>US,Kean University of New Jersey,http://www.kean.edu/</t>
  </si>
  <si>
    <t>US,Keck Graduate Institute of Applied Life Sciences,http://www.kgi.edu/</t>
  </si>
  <si>
    <t>US,Keene State College,http://www.keene.edu/</t>
  </si>
  <si>
    <t>US,Keller Graduate School of Management,http://www.keller.edu/</t>
  </si>
  <si>
    <t>US,Kendall College,http://www.kendall.edu/</t>
  </si>
  <si>
    <t>US,Kendall College of Art and Design,http://www.kcad.edu/</t>
  </si>
  <si>
    <t>US,Kennesaw State University,http://www.kennesaw.edu/</t>
  </si>
  <si>
    <t>US,Kent State University,http://www.kent.edu/</t>
  </si>
  <si>
    <t>US,Kent State University - Ashtabula,http://www.ashtabula.kent.edu/</t>
  </si>
  <si>
    <t>US,Kent State University - East Liverpool,http://www.kenteliv.kent.edu/</t>
  </si>
  <si>
    <t>US,Kent State University - Salem,http://www.salem.kent.edu/</t>
  </si>
  <si>
    <t>US,Kent State University - Stark,http://www.stark.kent.edu/</t>
  </si>
  <si>
    <t>US,Kent State University - Trumbull,http://www.trumbull.kent.edu/</t>
  </si>
  <si>
    <t>US,Kent State University - Tuscarawas,http://www.tusc.kent.edu/</t>
  </si>
  <si>
    <t>US,Kentucky Christian College,http://www.kcc.edu/</t>
  </si>
  <si>
    <t>US,Kentucky State University,http://www.kysu.edu/</t>
  </si>
  <si>
    <t>US,Kentucky Wesleyan College,http://www.kwc.edu/</t>
  </si>
  <si>
    <t>US,Kenyon College,http://www.kenyon.edu/</t>
  </si>
  <si>
    <t>US,Kettering University (GMI),http://www.kettering.edu/</t>
  </si>
  <si>
    <t>US,Keuka College,http://www.keuka.edu/</t>
  </si>
  <si>
    <t>US,King College,http://www.king.edu/</t>
  </si>
  <si>
    <t>US,King's College,http://www.kings.edu/</t>
  </si>
  <si>
    <t>US,Kirksville College of Osteopathic Medicine,http://www.kcom.edu/</t>
  </si>
  <si>
    <t>US,Kirkwood Community College,http://www.kirkwood.edu/</t>
  </si>
  <si>
    <t>US,Knox College,http://www.knox.edu/</t>
  </si>
  <si>
    <t>US,Knoxville College,http://www.knoxvillecollege.edu/</t>
  </si>
  <si>
    <t>US,Kutztown University of Pennsylvania,http://www.kutztown.edu/</t>
  </si>
  <si>
    <t>US,Laboratory Institute of Merchandising,http://www.limcollege.edu/</t>
  </si>
  <si>
    <t>US,Lafayette College,http://www.lafayette.edu/</t>
  </si>
  <si>
    <t>US,Lagrange College,http://www.lgc.edu/</t>
  </si>
  <si>
    <t>US,Lake Erie College,http://www.lakeerie.edu/</t>
  </si>
  <si>
    <t>US,Lake Forest College,http://www.lfc.edu/</t>
  </si>
  <si>
    <t>US,Lake Forest Graduate School of Management,http://www.lfgsm.edu/</t>
  </si>
  <si>
    <t>US,Lakeland College,http://www.lakeland.edu/</t>
  </si>
  <si>
    <t>US,Lake Superior State University,http://www.lssu.edu/</t>
  </si>
  <si>
    <t>US,Lakeview College of Nursing,http://www.lakeviewcol.edu/</t>
  </si>
  <si>
    <t>US,Lamar University,http://www.lamar.edu/</t>
  </si>
  <si>
    <t>US,Lamar University - Port Arthur,http://www.pa.lamar.edu/</t>
  </si>
  <si>
    <t>US,Lambuth University,http://www.lambuth.edu/</t>
  </si>
  <si>
    <t>US,Lancaster Bible College,http://www.lbc.edu/</t>
  </si>
  <si>
    <t>US,Lander University,http://www.lander.edu/</t>
  </si>
  <si>
    <t>US,Lane College,http://www.lanecollege.edu/</t>
  </si>
  <si>
    <t>US,Langston University,http://www.lunet.edu/</t>
  </si>
  <si>
    <t>US,La Roche College,http://www.laroche.edu/</t>
  </si>
  <si>
    <t>US,La Salle University,http://www.lasalle.edu/</t>
  </si>
  <si>
    <t>US,Lasell College,http://www.lasell.edu/</t>
  </si>
  <si>
    <t>US,La Sierra University,http://www.lasierra.edu/</t>
  </si>
  <si>
    <t>US,Laurus Technical Institute,http://www.laurus.edu/</t>
  </si>
  <si>
    <t>US,Lawrence Technological University,http://www.ltu.edu/</t>
  </si>
  <si>
    <t>US,Lawrence University,http://www.lawrence.edu/</t>
  </si>
  <si>
    <t>US,Lebanon Valley College,http://www.lvc.edu/</t>
  </si>
  <si>
    <t>US,Lees-McRae College,http://www.lmc.edu/</t>
  </si>
  <si>
    <t>US,Lee University,http://www.leeuniversity.edu/</t>
  </si>
  <si>
    <t>US,Lehigh Univervsity,http://www.lehigh.edu/</t>
  </si>
  <si>
    <t>US,Le Moyne College,http://www.lemoyne.edu/</t>
  </si>
  <si>
    <t>US,Le Moyne-Owen College,http://www.lemoyne-owen.edu/</t>
  </si>
  <si>
    <t>US,Lenoir-Rhyne College,http://www.lrc.edu/</t>
  </si>
  <si>
    <t>US,Lesley University,http://www.lesley.edu/</t>
  </si>
  <si>
    <t>US,Letourneau University,http://www.letu.edu/</t>
  </si>
  <si>
    <t>US,Lewis and Clark College,http://www.lclark.edu/</t>
  </si>
  <si>
    <t>US,Lewis &amp; Clark Community College,http://www.lc.cc.il.us/</t>
  </si>
  <si>
    <t>US,Lewis-Clark State College,http://www.lcsc.edu/</t>
  </si>
  <si>
    <t>US,Lewis University,http://www.lewisu.edu/</t>
  </si>
  <si>
    <t>US,Liberty University,http://www.liberty.edu/</t>
  </si>
  <si>
    <t>US,Life Chiropractic College West,http://www.lifewest.edu/</t>
  </si>
  <si>
    <t>US,Life University,http://www.life.edu/</t>
  </si>
  <si>
    <t>US,Limestone College,http://www.limestone.edu/</t>
  </si>
  <si>
    <t>US,Lincoln Memorial University,http://www.lmunet.edu/</t>
  </si>
  <si>
    <t>US,Lincoln University Missouri,http://www.lincolnu.edu/</t>
  </si>
  <si>
    <t>US,Lincoln University Pennsylvania,http://www.lincoln.edu/</t>
  </si>
  <si>
    <t>US,Lincoln University San Francisco,http://www.lincolnuca.edu/</t>
  </si>
  <si>
    <t>US,Lindenwood University,http://www.lindenwood.edu/</t>
  </si>
  <si>
    <t>US,Lindsey Wilson College,http://www.lindsey.edu/</t>
  </si>
  <si>
    <t>US,Linfield College,http://www.linfield.edu/</t>
  </si>
  <si>
    <t>US,Lipscomb University,http://www.lipscomb.edu/</t>
  </si>
  <si>
    <t>US,Livingstone College,http://www.livingstone.edu/</t>
  </si>
  <si>
    <t>US,Lock Haven University of Pennsylvania,http://www.lhup.edu/</t>
  </si>
  <si>
    <t>US,Logan College of Chiropractic,http://www.logan.edu/</t>
  </si>
  <si>
    <t>US,Loma Linda University,http://www.llu.edu/</t>
  </si>
  <si>
    <t>US,Long Island University,http://www.liunet.edu/</t>
  </si>
  <si>
    <t>US,"Long Island University, C.W. Post Campus",http://www.cwpost.liunet.edu/cwis/cwp/post.html</t>
  </si>
  <si>
    <t>US,"Long Island University, Southampton College",http://www.southampton.liunet.edu/</t>
  </si>
  <si>
    <t>US,Longwood College,http://www.lwc.edu/</t>
  </si>
  <si>
    <t>US,Loras College,http://www.loras.edu/</t>
  </si>
  <si>
    <t>US,Los Angeles College of Chiropractic,http://www.lacc.edu/</t>
  </si>
  <si>
    <t>US,Louisiana Baptist University,http://www.lbu.edu/</t>
  </si>
  <si>
    <t>US,Louisiana College,http://www.lacollege.edu/</t>
  </si>
  <si>
    <t>US,Louisiana State University and Agricultural and Mechanical College,http://www.lsu.edu/</t>
  </si>
  <si>
    <t>US,Louisiana State University at Alexandria,http://www.lsua.edu/</t>
  </si>
  <si>
    <t>US,Louisiana State University at Eunice,http://www.lsue.edu/</t>
  </si>
  <si>
    <t>US,Louisiana State University Health Sciences Center New Orleans,http://www.lsuhsc.edu/</t>
  </si>
  <si>
    <t>US,Louisiana State University in Shreveport,http://www.lsus.edu/</t>
  </si>
  <si>
    <t>US,Louisiana Tech University,http://www.latech.edu/</t>
  </si>
  <si>
    <t>US,Lourdes College,http://www.lourdes.edu/</t>
  </si>
  <si>
    <t>US,Loyola College in Maryland,http://www.loyola.edu/</t>
  </si>
  <si>
    <t>US,Loyola Marymount University,http://www.lmu.edu/</t>
  </si>
  <si>
    <t>US,Loyola University New Orleans,http://www.loyno.edu/</t>
  </si>
  <si>
    <t>US,Loyola University of Chicago,http://www.luc.edu/</t>
  </si>
  <si>
    <t>US,Lubbock Christian University,http://www.lcu.edu/</t>
  </si>
  <si>
    <t>US,Lutheran Bible Institute of Seattle,http://www.lbi.edu/</t>
  </si>
  <si>
    <t>US,Luther College,http://www.luther.edu/</t>
  </si>
  <si>
    <t>US,Lycoming College,http://www.lycoming.edu/</t>
  </si>
  <si>
    <t>US,Lynchburg College,http://www.lynchburg.edu/</t>
  </si>
  <si>
    <t>US,Lyndon State College,http://www.lsc.vsc.edu/</t>
  </si>
  <si>
    <t>US,Lynn University,http://www.lynn.edu/</t>
  </si>
  <si>
    <t>US,Lyon College,http://www.lyon.edu/</t>
  </si>
  <si>
    <t>US,Macalester College,http://www.macalstr.edu/</t>
  </si>
  <si>
    <t>US,MacMurray College,http://www.mac.edu/</t>
  </si>
  <si>
    <t>US,Macon State College,http://www.maconstate.edu/</t>
  </si>
  <si>
    <t>US,Madison University (Distance Education),http://www.madisonu.com/</t>
  </si>
  <si>
    <t>US,Madonna University,http://madonna2.siteobjects.com/pages/index.cfm</t>
  </si>
  <si>
    <t>US,Maharishi University of Management,http://www.mum.edu/</t>
  </si>
  <si>
    <t>US,Maine College of Art,http://www.meca.edu/</t>
  </si>
  <si>
    <t>US,Maine Maritime Academy,http://www.mainemaritime.edu/</t>
  </si>
  <si>
    <t>US,Malone College,http://www.malone.edu/</t>
  </si>
  <si>
    <t>US,Manchester College,http://www.manchester.edu/</t>
  </si>
  <si>
    <t>US,Manhattan Christian College,http://www.mccks.edu/</t>
  </si>
  <si>
    <t>US,Manhattan College,http://www.mancol.edu/</t>
  </si>
  <si>
    <t>US,Manhattan School of Music,http://www.msmnyc.edu/</t>
  </si>
  <si>
    <t>US,Manhattanville College,http://www.mville.edu/</t>
  </si>
  <si>
    <t>US,Mankato State University,http://www.mankato.msus.edu/</t>
  </si>
  <si>
    <t>US,Mansfield University of Pennsylvania,http://www.mnsfld.edu/</t>
  </si>
  <si>
    <t>US,Maranatha Baptist Bible College,http://www.mbbc.edu/</t>
  </si>
  <si>
    <t>US,Marian College,http://www.marian.edu/</t>
  </si>
  <si>
    <t>US,Marian College of Fond Du Lac,http://www.mariancoll.edu/</t>
  </si>
  <si>
    <t>US,Marietta College,http://www.marietta.edu/</t>
  </si>
  <si>
    <t>US,Marist College,http://www.marist.edu/</t>
  </si>
  <si>
    <t>US,Marlboro College,http://www.marlboro.edu/</t>
  </si>
  <si>
    <t>US,Marquette University,http://www.mu.edu/</t>
  </si>
  <si>
    <t>US,Marshall University,http://www.marshall.edu/</t>
  </si>
  <si>
    <t>US,Mars Hill College,http://www.mhc.edu/</t>
  </si>
  <si>
    <t>US,Martin Luther College,http://www.mlc-wels.edu/</t>
  </si>
  <si>
    <t>US,Martin Methodist College,http://www.martinmethodist.edu/</t>
  </si>
  <si>
    <t>US,Martin University,http://www.martin.edu/</t>
  </si>
  <si>
    <t>US,Mary Baldwin College,http://www.mbc.edu/</t>
  </si>
  <si>
    <t>US,Marycrest International University,http://www.mcrest.edu/</t>
  </si>
  <si>
    <t>US,Marygrove College,http://www.marygrove.edu/</t>
  </si>
  <si>
    <t>US,Marylhurst University,http://www.marylhurst.edu/</t>
  </si>
  <si>
    <t>US,Marymount College New York,http://www.marymt.edu/</t>
  </si>
  <si>
    <t>US,Marymount Manhattan College,http://marymount.mmm.edu/</t>
  </si>
  <si>
    <t>US,Marymount University,http://www.marymount.edu/</t>
  </si>
  <si>
    <t>US,Maryville College,http://www.maryvillecollege.edu/</t>
  </si>
  <si>
    <t>US,Maryville University of St. Louis,http://www.maryvillestl.edu/</t>
  </si>
  <si>
    <t>US,Mary Washington College,http://www.mwc.edu/</t>
  </si>
  <si>
    <t>US,Marywood University,http://www.marywood.edu/</t>
  </si>
  <si>
    <t>US,Massachusetts College of Art,http://www.massart.edu/</t>
  </si>
  <si>
    <t>US,Massachusetts College of Liberal Arts,http://www.mcla.mass.edu/</t>
  </si>
  <si>
    <t>US,Massachusetts College of Pharmacy and Allied Health Sciences,http://www.mcp.edu/</t>
  </si>
  <si>
    <t>US,Massachusetts Institute of Technology,http://www.mit.edu/</t>
  </si>
  <si>
    <t>US,Massachusetts Maritime Academy,http://www.mma.mass.edu/</t>
  </si>
  <si>
    <t>US,Massachusetts School of Professional Psychology,http://www.mspp.edu/</t>
  </si>
  <si>
    <t>US,Mayo Graduate School,http://www.mayo.edu/mgs/gs.html</t>
  </si>
  <si>
    <t>US,Mayo Medical School,http://www.mayo.edu/education/mms/</t>
  </si>
  <si>
    <t>US,Mayville State University,http://www.masu.nodak.edu/</t>
  </si>
  <si>
    <t>US,McKendree College,http://www.mckendree.edu/</t>
  </si>
  <si>
    <t>US,McMurry University,http://www.mcm.edu/</t>
  </si>
  <si>
    <t>US,McNeese State University,http://www.mcneese.edu/</t>
  </si>
  <si>
    <t>US,McPherson College,http://www.mcpherson.edu/</t>
  </si>
  <si>
    <t>US,Medaille College,http://www.medaille.edu/</t>
  </si>
  <si>
    <t>US,Medcenter One College of Nursing,http://www.medcenterone.com/nursing/nursing.htm</t>
  </si>
  <si>
    <t>US,Medical College of Georgia,http://www.mcg.edu/</t>
  </si>
  <si>
    <t>US,Medical College of Ohio,http://www.mco.edu/</t>
  </si>
  <si>
    <t>US,Medical College of Pennsylvania and Hahnemann University,http://www.mcphu.edu/</t>
  </si>
  <si>
    <t>US,Medical College of Wisconsin,http://www.mcw.edu/</t>
  </si>
  <si>
    <t>US,Medical University of South Carolina,http://www.musc.edu/</t>
  </si>
  <si>
    <t>US,Meharry Medical College,http://www.mmc.edu/</t>
  </si>
  <si>
    <t>US,Memphis College of Art,http://www.mca.edu/</t>
  </si>
  <si>
    <t>US,Menlo College,http://www.menlo.edu/</t>
  </si>
  <si>
    <t>US,Mennonite College of Nursing,http://www.mcn.ilstu.edu/</t>
  </si>
  <si>
    <t>US,Mercer University,http://www.mercer.edu/</t>
  </si>
  <si>
    <t>US,"Mercer University, Cecil B. Day Campus",http://www.mercer.edu/cbd/</t>
  </si>
  <si>
    <t>US,Mercy College,http://www.mercynet.edu/</t>
  </si>
  <si>
    <t>US,Mercyhurst College,http://www.mercyhurst.edu/</t>
  </si>
  <si>
    <t>US,Meredith College,http://www.meredith.edu/</t>
  </si>
  <si>
    <t>US,Merrimack College,http://www.merrimack.edu/</t>
  </si>
  <si>
    <t>US,Mesa State College,http://www.mesastate.edu/</t>
  </si>
  <si>
    <t>US,Messiah College,http://www.messiah.edu/</t>
  </si>
  <si>
    <t>US,Methodist College,http://www.methodist.edu/</t>
  </si>
  <si>
    <t>US,Metropolitan State College of Denver,http://www.mscd.edu/</t>
  </si>
  <si>
    <t>US,Metropolitan State University,http://www.metro.msus.edu/</t>
  </si>
  <si>
    <t>US,MGH Institute of Health Professions,http://www.mghihp.edu/</t>
  </si>
  <si>
    <t>US,Miami Dade College,http://www.mdc.edu/</t>
  </si>
  <si>
    <t>US,Miami University of Ohio,http://www.muohio.edu/</t>
  </si>
  <si>
    <t>US,Miami University of Ohio - Hamilton,http://www.ham.muohio.edu/</t>
  </si>
  <si>
    <t>US,Miami University of Ohio - Middletown,http://www.mid.muohio.edu/</t>
  </si>
  <si>
    <t>US,Michigan School of Professional Psychology,http://www.mispp.edu/</t>
  </si>
  <si>
    <t>US,Michigan State University,http://www.msu.edu/</t>
  </si>
  <si>
    <t>US,Michigan Technological University,http://www.mtu.edu/</t>
  </si>
  <si>
    <t>US,Mid-America Nazarene University,http://www.mnu.edu/</t>
  </si>
  <si>
    <t>US,Mid-American Bible College,http://www.concentric.net/~rkriesel/MBC/MBC.shtml</t>
  </si>
  <si>
    <t>US,Mid-Continent Baptist Bible College,http://www.mcbc.edu/</t>
  </si>
  <si>
    <t>US,Middlebury College,http://www.middlebury.edu/</t>
  </si>
  <si>
    <t>US,Middle Tennessee State University,http://www.mtsu.edu/</t>
  </si>
  <si>
    <t>US,Midland Lutheran College,http://www.mlc.edu/</t>
  </si>
  <si>
    <t>US,Midway College,http://www.midway.edu/</t>
  </si>
  <si>
    <t>US,Midwestern State University,http://www.mwsu.edu/</t>
  </si>
  <si>
    <t>US,Midwestern University,http://www.midwestern.edu/</t>
  </si>
  <si>
    <t>US,Miles College,http://www.miles.edu/</t>
  </si>
  <si>
    <t>US,Millennia Atlantic University,http://www.maufl.edu/</t>
  </si>
  <si>
    <t>US,Millersville University of Pennsylvania,http://www.millersv.edu/</t>
  </si>
  <si>
    <t>US,Milligan College,http://www.milligan.edu/</t>
  </si>
  <si>
    <t>US,Millikin University,http://www.millikin.edu/</t>
  </si>
  <si>
    <t>US,Millsaps College,http://www.millsaps.edu/</t>
  </si>
  <si>
    <t>US,Mills College,http://www.mills.edu/</t>
  </si>
  <si>
    <t>US,Mills Grae University,http://www.mgu.edu/</t>
  </si>
  <si>
    <t>US,Milwaukee Institute of Art and Design,http://www.miad.edu/</t>
  </si>
  <si>
    <t>US,Milwaukee School of Engineering,http://www.msoe.edu/</t>
  </si>
  <si>
    <t>US,Minneapolis College of Art and Design,http://www.mcad.edu/</t>
  </si>
  <si>
    <t>US,Minnesota Bible College,http://www.mnbc.edu/</t>
  </si>
  <si>
    <t>US,Minnesota School of Professional Psychology,http://www.aspp.edu/mn.html</t>
  </si>
  <si>
    <t>US,Minot State University,http://www.misu.nodak.edu/</t>
  </si>
  <si>
    <t>US,Mississippi College,http://www.mc.edu/</t>
  </si>
  <si>
    <t>US,Mississippi State University,http://www.msstate.edu/</t>
  </si>
  <si>
    <t>US,Mississippi University for Women,http://www.muw.edu/</t>
  </si>
  <si>
    <t>US,Mississippi Valley State University,http://www.mvsu.edu/</t>
  </si>
  <si>
    <t>US,Missouri Baptist College,http://www.mobap.edu/</t>
  </si>
  <si>
    <t>US,Missouri Southern State College,http://www.mssc.edu/</t>
  </si>
  <si>
    <t>US,Missouri Tech,http://www.motech.edu/</t>
  </si>
  <si>
    <t>US,Missouri University of Science and Technology,http://www.mst.edu/</t>
  </si>
  <si>
    <t>US,Missouri Valley College,http://www.murlin.com/~webfx/mvc/</t>
  </si>
  <si>
    <t>US,Missouri Western State College,http://www.mwsc.edu/</t>
  </si>
  <si>
    <t>US,Molloy College,http://www.molloy.edu/</t>
  </si>
  <si>
    <t>US,Monmouth University,http://www.monmouth.edu/</t>
  </si>
  <si>
    <t>US,Montana State University,http://www.montana.edu/</t>
  </si>
  <si>
    <t>US,Montana State University - Billings,http://www.msubillings.edu/</t>
  </si>
  <si>
    <t>US,Montana State University - Northern,http://www.msun.edu/</t>
  </si>
  <si>
    <t>US,Montana Tech,http://www.mtech.edu/</t>
  </si>
  <si>
    <t>US,Montclair State University,http://www.montclair.edu/</t>
  </si>
  <si>
    <t>US,Monterey Institute of International Studies,http://www.miis.edu/</t>
  </si>
  <si>
    <t>US,Montreat College,http://www.montreat.edu/</t>
  </si>
  <si>
    <t>US,Montserrat College of Art,http://www.montserrat.edu/</t>
  </si>
  <si>
    <t>US,Moody Bible Institute,http://www.moody.edu/</t>
  </si>
  <si>
    <t>US,Moore College of Art and Design,http://www.moore.edu/</t>
  </si>
  <si>
    <t>US,Moorhead State University,http://www.moorhead.msus.edu/</t>
  </si>
  <si>
    <t>US,Moraine Valley Community College,http://www.morainevalley.edu/</t>
  </si>
  <si>
    <t>US,Moravian College,http://www.moravian.edu/</t>
  </si>
  <si>
    <t>US,Morehead State University,http://www.morehead-st.edu/</t>
  </si>
  <si>
    <t>US,Morehouse College,http://www.morehouse.edu/</t>
  </si>
  <si>
    <t>US,Morehouse School of Medicine,http://www.msm.edu/</t>
  </si>
  <si>
    <t>US,Morgan State University,http://www.morgan.edu/</t>
  </si>
  <si>
    <t>US,Morningside College,http://www.morningside.edu/</t>
  </si>
  <si>
    <t>US,Morris Brown College,http://www.morrisbrown.edu/</t>
  </si>
  <si>
    <t>US,Morris College,http://www.scicu.org/morris/</t>
  </si>
  <si>
    <t>US,Morrison College,http://www.morrison.neumont.edu/</t>
  </si>
  <si>
    <t>US,Mountain State University,http://www.mountainstate.edu/</t>
  </si>
  <si>
    <t>US,Mount Aloysius College,http://www.mtaloy.edu/</t>
  </si>
  <si>
    <t>US,Mount Carmel College of Nursing,http://www.mccn.edu/</t>
  </si>
  <si>
    <t>US,Mount Holyoke College,http://www.mtholyoke.edu/</t>
  </si>
  <si>
    <t>US,Mount Ida College,http://www.mountida.edu/</t>
  </si>
  <si>
    <t>US,Mount Marty College,http://www.mtmc.edu/</t>
  </si>
  <si>
    <t>US,Mount Mary College,http://www.mtmary.edu/</t>
  </si>
  <si>
    <t>US,Mount Mercy College,http://www.mtmercy.edu/</t>
  </si>
  <si>
    <t>US,Mount Olive College,http://www.mountolivecollege.edu/</t>
  </si>
  <si>
    <t>US,Mount Senario College,http://www.mscfs.edu/</t>
  </si>
  <si>
    <t>US,Mount Sinai School of Medicine,http://www.mssm.edu/</t>
  </si>
  <si>
    <t>US,Mount St. Clare College,http://www.clare.edu/</t>
  </si>
  <si>
    <t>US,Mount St. Mary College,http://www.msmc.edu/</t>
  </si>
  <si>
    <t>US,Mount St. Mary's College California,http://www.msmc.la.edu/</t>
  </si>
  <si>
    <t>US,Mount St. Mary's College Maryland,http://www.msmary.edu/</t>
  </si>
  <si>
    <t>US,Mount Union College,http://www.mountunion.edu/</t>
  </si>
  <si>
    <t>US,Mount Vernon College,http://www.gwu.edu/~mvcgw/</t>
  </si>
  <si>
    <t>US,Mount Vernon Nazarene College,http://www.mvnc.edu/</t>
  </si>
  <si>
    <t>US,Muhlenberg College,http://www.muhlberg.edu/</t>
  </si>
  <si>
    <t>US,Multnomah Bible College,http://www.multnomah.edu/</t>
  </si>
  <si>
    <t>US,Murray State University,http://www.mursuky.edu/</t>
  </si>
  <si>
    <t>US,Muskingum College,http://www.muskingum.edu/</t>
  </si>
  <si>
    <t>US,NAES College,http://www.naes.indian.com/</t>
  </si>
  <si>
    <t>US,National American University,http://www.national.edu/</t>
  </si>
  <si>
    <t>US,"National American University, Albuquerque",http://www.national.edu/albuquerque.html</t>
  </si>
  <si>
    <t>US,"National American University, Colorado Springs",http://www.national.edu/col_springs.html</t>
  </si>
  <si>
    <t>US,"National American University, Denver",http://www.national.edu/denver.html</t>
  </si>
  <si>
    <t>US,"National American University, Kansas City",http://www.national.edu/kansas_city.html</t>
  </si>
  <si>
    <t>US,"National American University, Roseville",http://www.national.edu/roseville.html</t>
  </si>
  <si>
    <t>US,"National American University, Sioux Falls",http://www.national.edu/sioux_falls.html</t>
  </si>
  <si>
    <t>US,National College of Chiropractic,http://www.national.chiropractic.edu/</t>
  </si>
  <si>
    <t>US,National College of Naturopathic Medicine,http://www.ncnm.edu/</t>
  </si>
  <si>
    <t>US,National Defense University,http://www.ndu.edu/</t>
  </si>
  <si>
    <t>US,National Hispanic University,http://www.nhu.edu/</t>
  </si>
  <si>
    <t>US,National-Louis University,http://www.nl.edu/</t>
  </si>
  <si>
    <t>US,National Technological University,http://www.ntu.edu/</t>
  </si>
  <si>
    <t>US,National Theatre Conservatory,http://www.denvercenter.org/education/ed_ntc.htm</t>
  </si>
  <si>
    <t>US,National University,http://www.nu.edu/</t>
  </si>
  <si>
    <t>US,Naval Postgraduate School,http://www.nps.navy.mil/</t>
  </si>
  <si>
    <t>US,Nazarene Bible College,http://www.nbc.edu/</t>
  </si>
  <si>
    <t>US,Nazareth College,http://www.naz.edu/</t>
  </si>
  <si>
    <t>US,Nebraska Christian College,http://www.nechristian.edu/</t>
  </si>
  <si>
    <t>US,Nebraska Methodist College of Nursing and Allied Health,http://www.methodistcollege.edu/nurseover.html</t>
  </si>
  <si>
    <t>US,Nebraska Wesleyan University,http://www.nebrwesleyan.edu/</t>
  </si>
  <si>
    <t>US,Neumann College,http://www.neumann.edu/</t>
  </si>
  <si>
    <t>US,Newberry College,http://www.newberry.edu/</t>
  </si>
  <si>
    <t>US,New College of California,http://www.newcollege.edu/</t>
  </si>
  <si>
    <t>US,New College of Florida,http://www.ncf.edu/</t>
  </si>
  <si>
    <t>US,New England College,http://www.nec.edu/</t>
  </si>
  <si>
    <t>US,New England College of Optometry,http://www.ne-optometry.edu/</t>
  </si>
  <si>
    <t>US,New England Conservatory of Music,http://www.newenglandconservatory.edu/</t>
  </si>
  <si>
    <t>US,New England Institute of Technology,http://www.neit.edu/</t>
  </si>
  <si>
    <t>US,New England School of Art and Design,http://www.suffolk.edu/nesad/</t>
  </si>
  <si>
    <t>US,New England School of Communications,http://www.nescom.edu/</t>
  </si>
  <si>
    <t>US,New England School of Law,http://www.nesl.edu/</t>
  </si>
  <si>
    <t>US,New Hampshire College,http://www.nhc.edu/</t>
  </si>
  <si>
    <t>US,New Jersey City University,http://www.njcu.edu/</t>
  </si>
  <si>
    <t>US,New Jersey Institute of Technology,http://www.njit.edu/</t>
  </si>
  <si>
    <t>US,Newman University,http://www.ksnewman.edu/</t>
  </si>
  <si>
    <t>US,New Mexico Highlands University,http://www.nmhu.edu/</t>
  </si>
  <si>
    <t>US,New Mexico Institute of Mining and Technology,http://www.nmt.edu/</t>
  </si>
  <si>
    <t>US,New Mexico State University,http://www.nmsu.edu/</t>
  </si>
  <si>
    <t>US,Newschool of Architecture and Design,http://www.newschoolarch.edu/</t>
  </si>
  <si>
    <t>US,"New York Academy of Art, Graduate School of Figurative Art",http://www.nyaa.edu/</t>
  </si>
  <si>
    <t>US,New York Chiropractic College,http://www.nycc.edu/</t>
  </si>
  <si>
    <t>US,New York College of Podiatric Medicine,http://www.nycpm.edu/</t>
  </si>
  <si>
    <t>US,New York Film Academy,http://www.nyfa.edu/</t>
  </si>
  <si>
    <t>US,New York Institute of Technology,http://www.nyit.edu/</t>
  </si>
  <si>
    <t>US,New York Law School,http://www.nyls.edu/</t>
  </si>
  <si>
    <t>US,New York Medical College,http://www.nymc.edu/</t>
  </si>
  <si>
    <t>US,New York School of Interior Design,http://www.nysid.edu/</t>
  </si>
  <si>
    <t>US,New York University,http://www.nyu.edu/</t>
  </si>
  <si>
    <t>US,Niagara University,http://www.niagara.edu/</t>
  </si>
  <si>
    <t>US,Nicholls State University,http://www.nicholls.edu/</t>
  </si>
  <si>
    <t>US,Nichols College,http://www.nichols.edu/</t>
  </si>
  <si>
    <t>US,Norfolk State University,http://www.nsu.edu/</t>
  </si>
  <si>
    <t>US,North Carolina Agricultural and Technical State University,http://www.ncat.edu/</t>
  </si>
  <si>
    <t>US,North Carolina Central University,http://www.nccu.edu/</t>
  </si>
  <si>
    <t>US,North Carolina School of the Arts,http://www.ncarts.edu/</t>
  </si>
  <si>
    <t>US,North Carolina State University,http://www.ncsu.edu/</t>
  </si>
  <si>
    <t>US,North Carolina Wesleyan College,http://www.ncwc.edu/</t>
  </si>
  <si>
    <t>US,North Central Bible College,http://www.ncbc.edu/</t>
  </si>
  <si>
    <t>US,North Central College,http://www.noctrl.edu/</t>
  </si>
  <si>
    <t>US,Northcentral University,http://www.ncu.edu/</t>
  </si>
  <si>
    <t>US,North Dakota State University,http://www.ndsu.nodak.edu/</t>
  </si>
  <si>
    <t>US,Northeastern Illinois University,http://www.neiu.edu/</t>
  </si>
  <si>
    <t>US,Northeastern Ohio University College of Medicine,http://www.neoucom.edu/</t>
  </si>
  <si>
    <t>US,Northeastern State University,http://www.nsuok.edu/</t>
  </si>
  <si>
    <t>US,Northeastern University,http://www.neu.edu/</t>
  </si>
  <si>
    <t>US,Northern Arizona University,http://www.nau.edu/</t>
  </si>
  <si>
    <t>US,Northern Illinois University,http://www.niu.edu/</t>
  </si>
  <si>
    <t>US,Northern Kentucky University,http://www.nku.edu/</t>
  </si>
  <si>
    <t>US,Northern Michigan University,http://www.nmu.edu/</t>
  </si>
  <si>
    <t>US,Northern State University,http://www.northern.edu/</t>
  </si>
  <si>
    <t>US,Northern Virginia Community College,http://www.nv.cc.va.us/</t>
  </si>
  <si>
    <t>US,Northface University,http://www.northface.edu/</t>
  </si>
  <si>
    <t>US,North Georgia College,http://www.ngc.peachnet.edu/</t>
  </si>
  <si>
    <t>US,North Greenville College,http://www.ngc.edu/</t>
  </si>
  <si>
    <t>US,Northland College,http://www.northland.edu/</t>
  </si>
  <si>
    <t>US,North Park University,http://www.northpark.edu/</t>
  </si>
  <si>
    <t>US,Northwest Christian College,http://www.nwcc.edu/</t>
  </si>
  <si>
    <t>US,Northwest College of Art,http://www.nca.edu/</t>
  </si>
  <si>
    <t>US,Northwestern College Iowa,http://www.nwciowa.edu/</t>
  </si>
  <si>
    <t>US,Northwestern College of Chiropractic,http://www.nwchiro.edu/</t>
  </si>
  <si>
    <t>US,Northwestern College St. Paul,http://www.nwc.edu/</t>
  </si>
  <si>
    <t>US,Northwestern Oklahoma State University,http://www.nwalva.edu/</t>
  </si>
  <si>
    <t>US,Northwestern State University of Louisiana,http://www.nsula.edu/</t>
  </si>
  <si>
    <t>US,Northwestern University,http://www.nwu.edu/</t>
  </si>
  <si>
    <t>US,Northwest Missouri State University,http://www.nwmissouri.edu/</t>
  </si>
  <si>
    <t>US,Northwest Nazarene University,http://www.nnu.edu/</t>
  </si>
  <si>
    <t>US,Northwest University,http://www.northwestu.edu/</t>
  </si>
  <si>
    <t>US,Northwood University,http://www.northwood.edu/</t>
  </si>
  <si>
    <t>US,"Northwood University, Florida Campus",http://www.northwood.edu/campuses/florida/</t>
  </si>
  <si>
    <t>US,"Northwood University, Texas Campus",http://www.northwood.edu/campuses/texas/</t>
  </si>
  <si>
    <t>US,Norwich University,http://www.norwich.edu/</t>
  </si>
  <si>
    <t>US,Notre Dame College,http://www.notredame.edu/</t>
  </si>
  <si>
    <t>US,Notre Dame College of Ohio,http://www.ndc.edu/</t>
  </si>
  <si>
    <t>US,Notre Dame de Namur University,http://www.ndnu.edu/</t>
  </si>
  <si>
    <t>US,Nova Southeastern University,http://www.nova.edu/</t>
  </si>
  <si>
    <t>US,Nyack College,http://www.nyackcollege.edu/</t>
  </si>
  <si>
    <t>US,Oakland City University,http://www.oak.edu/</t>
  </si>
  <si>
    <t>US,Oakland University,http://www.oakland.edu/</t>
  </si>
  <si>
    <t>US,Oakton Community College,http://www.oakton.edu/</t>
  </si>
  <si>
    <t>US,Oakwood College,http://www.oakwood.edu/</t>
  </si>
  <si>
    <t>US,Oberlin College,http://www.oberlin.edu/</t>
  </si>
  <si>
    <t>US,Occidental College,http://www.oxy.edu/</t>
  </si>
  <si>
    <t>US,Oglala Lakota College,http://www.olc.edu/</t>
  </si>
  <si>
    <t>US,Oglethorpe University,http://www.oglethorpe.edu/</t>
  </si>
  <si>
    <t>US,Ohio College of Podiatric Medicine,http://www.ocpm.edu/</t>
  </si>
  <si>
    <t>US,Ohio Dominican College,http://www.odc.edu/</t>
  </si>
  <si>
    <t>US,Ohio Northern University,http://www.onu.edu/</t>
  </si>
  <si>
    <t>US,Ohio State University,http://www.ohio-state.edu/</t>
  </si>
  <si>
    <t>US,Ohio State University - Lima,http://www.lima.ohio-state.edu/</t>
  </si>
  <si>
    <t>US,Ohio State University - Mansfield,http://www.mansfield.ohio-state.edu/</t>
  </si>
  <si>
    <t>US,Ohio State University - Marion,http://www.marion.ohio-state.edu/</t>
  </si>
  <si>
    <t>US,Ohio State University - Newark,http://www.newark.ohio-state.edu/</t>
  </si>
  <si>
    <t>US,Ohio University,http://www.ohiou.edu/</t>
  </si>
  <si>
    <t>US,Ohio University - Chillicothe,http://www.ohiou.edu/chillicothe/</t>
  </si>
  <si>
    <t>US,Ohio University - Eastern,http://www.eastern.ohiou.edu/</t>
  </si>
  <si>
    <t>US,Ohio University - Lancaster,http://www.lancaster.ohiou.edu/</t>
  </si>
  <si>
    <t>US,Ohio University - Southern,http://www.ohiou.edu/southern/</t>
  </si>
  <si>
    <t>US,Ohio University - Zanesville,http://www.zanesville.ohiou.edu/</t>
  </si>
  <si>
    <t>US,Ohio Valley College,http://www.ovc.edu/</t>
  </si>
  <si>
    <t>US,Ohio Wesleyan University,http://www.owu.edu/</t>
  </si>
  <si>
    <t>US,Oklahoma Baptist University,http://www.okbu.edu/</t>
  </si>
  <si>
    <t>US,Oklahoma Christian University,http://www.oc.edu/</t>
  </si>
  <si>
    <t>US,Oklahoma City University,http://www.okcu.edu/</t>
  </si>
  <si>
    <t>US,Oklahoma Panhandle State University,http://www.opsu.edu/</t>
  </si>
  <si>
    <t>US,Oklahoma State University,http://www.okstate.edu/</t>
  </si>
  <si>
    <t>US,Oklahoma State University Center for Health Sciences,http://osu.com.okstate.edu/</t>
  </si>
  <si>
    <t>US,Oklahoma State University - Institute of Technology,http://www.osuit.edu/</t>
  </si>
  <si>
    <t>US,Oklahoma State University - Oklahoma City,http://www.osuokc.edu/</t>
  </si>
  <si>
    <t>US,Oklahoma State University - Tulsa,http://www.osu-tulsa.okstate.edu/</t>
  </si>
  <si>
    <t>US,Old Dominion University,http://www.odu.edu/</t>
  </si>
  <si>
    <t>US,Olive-Harvey College,http://www.ccc.edu/oliveharvey/</t>
  </si>
  <si>
    <t>US,Olivet College,http://www.olivetcollege.edu/</t>
  </si>
  <si>
    <t>US,Olivet Nazarene University,http://www.olivet.edu/</t>
  </si>
  <si>
    <t>US,O'More College of Design,http://www.omorecollege.edu/</t>
  </si>
  <si>
    <t>US,Oral Roberts University,http://www.oru.edu/</t>
  </si>
  <si>
    <t>US,Oregon College of Arts and Crafts,http://www.ocac.edu/</t>
  </si>
  <si>
    <t>US,Oregon Graduate Institute of Science and Technology,http://www.ogi.edu/</t>
  </si>
  <si>
    <t>US,Oregon Health Sciences University,http://www.ohsu.edu/</t>
  </si>
  <si>
    <t>US,Oregon Institute of Technology,http://www.oit.edu/</t>
  </si>
  <si>
    <t>US,Oregon State University,http://www.orst.edu/</t>
  </si>
  <si>
    <t>US,Otis College of Art &amp; Design,http://www.otisart.edu/</t>
  </si>
  <si>
    <t>US,Ottawa University,http://www.ottawa.edu/</t>
  </si>
  <si>
    <t>US,Otterbein College,http://www.otterbein.edu/</t>
  </si>
  <si>
    <t>US,Ouachita Baptist University,http://www.obu.edu/</t>
  </si>
  <si>
    <t>US,Our Lady of Holy Cross College,http://www.olhcc.edu/</t>
  </si>
  <si>
    <t>US,Our Lady of the Lake University,http://www.ollusa.edu/</t>
  </si>
  <si>
    <t>US,Ozark Christian College,http://www.occ.edu/</t>
  </si>
  <si>
    <t>US,Pace University,http://www.pace.edu/</t>
  </si>
  <si>
    <t>US,Pace University  Pleasantville/Briarcliff,http://www.pace.edu/campus/pville.html</t>
  </si>
  <si>
    <t>US,Pacifica Graduate Institute,http://www.pacifica.edu/</t>
  </si>
  <si>
    <t>US,Pacific College of Oriental Medicine,http://www.ormed.edu/</t>
  </si>
  <si>
    <t>US,Pacific Graduate School of Psychology,http://www.pgsp.edu/</t>
  </si>
  <si>
    <t>US,Pacific Lutheran University,http://www.plu.edu/</t>
  </si>
  <si>
    <t>US,Pacific Northwest College of Art,http://www.pnca.edu/</t>
  </si>
  <si>
    <t>US,Pacific Oaks College,http://www.pacificoaks.edu/</t>
  </si>
  <si>
    <t>US,Pacific Union College,http://www.puc.edu/</t>
  </si>
  <si>
    <t>US,Pacific University,http://www.pacificu.edu/</t>
  </si>
  <si>
    <t>US,Paier College of Art,http://www.paierart.com/</t>
  </si>
  <si>
    <t>US,Paine College,http://www.paine.edu/</t>
  </si>
  <si>
    <t>US,Palm Beach Atlantic University,http://www.pba.edu/</t>
  </si>
  <si>
    <t>US,Palm Beach State College,http://www.palmbeachstate.edu/</t>
  </si>
  <si>
    <t>US,Palmer College of Chiropractic,http://www.palmer.edu/</t>
  </si>
  <si>
    <t>US,Palmer College of Chiropractic West,http://www.palmer.edu/PCCW/pcwmain.htm</t>
  </si>
  <si>
    <t>US,Park College,http://www.park.edu/</t>
  </si>
  <si>
    <t>US,Parsons School of Design,http://www.parsons.edu/</t>
  </si>
  <si>
    <t>US,Paul Quinn College,http://www.pqc.edu/</t>
  </si>
  <si>
    <t>US,Peace College,http://www.peace.edu/</t>
  </si>
  <si>
    <t>US,Pebble Hills University,http://www.pebblehills.edu/</t>
  </si>
  <si>
    <t>US,Pennsylvania Academy of the Fine Arts,http://www.pafa.org/</t>
  </si>
  <si>
    <t>US,Pennsylvania College of Optometry,http://www.pco.edu/</t>
  </si>
  <si>
    <t>US,Pennsylvania Institute of Technology,http://www.pit.edu/</t>
  </si>
  <si>
    <t>US,Pennsylvania State University,http://www.psu.edu/</t>
  </si>
  <si>
    <t>US,Pennsylvania State University - Abington,http://www.abington.psu.edu/</t>
  </si>
  <si>
    <t>US,Pennsylvania State University - Altoona,http://www.aa.psu.edu/</t>
  </si>
  <si>
    <t>US,Pennsylvania State University at Erie - Behrend College,http://www.pserie.psu.edu/</t>
  </si>
  <si>
    <t>US,Pennsylvania State University at Harrisburg - The Capital College,http://www.hbg.psu.edu/</t>
  </si>
  <si>
    <t>US,Pennsylvania State University - Berks-Lehigh Valley College,http://www.bk.psu.edu/</t>
  </si>
  <si>
    <t>US,Pennsylvania State University Delaware County,http://www.de.psu.edu/</t>
  </si>
  <si>
    <t>US,Pennsylvania State University Great Valley,http://www.gv.psu.edu/</t>
  </si>
  <si>
    <t>US,Pennsylvania State University - Lehigh Valley,http://www.an.psu.edu/</t>
  </si>
  <si>
    <t>US,Pennsylvania State University - Milton S.Hershey Medical Center,http://www.collmed.psu.edu/</t>
  </si>
  <si>
    <t>US,Pennsylvania State University - Schuylkill,http://www.sl.psu.edu/</t>
  </si>
  <si>
    <t>US,Pepperdine University,http://www.pepperdine.edu/</t>
  </si>
  <si>
    <t>US,Peru State College,http://www.peru.edu/</t>
  </si>
  <si>
    <t>US,Pfeiffer University,http://www.pfeiffer.edu/</t>
  </si>
  <si>
    <t>US,Philadelphia College of Bible,http://www.pcb.edu/</t>
  </si>
  <si>
    <t>US,Philadelphia College of Osteopathic Medicine,http://www.pcom.edu/</t>
  </si>
  <si>
    <t>US,Philadelphia University,http://www.philau.edu/</t>
  </si>
  <si>
    <t>US,Philander Smith College,http://www.philander.edu/</t>
  </si>
  <si>
    <t>US,Phillips Graduate Institute,http://www.pgi.edu/</t>
  </si>
  <si>
    <t>US,Phillips University,http://www.phillips.edu/</t>
  </si>
  <si>
    <t>US,Piedmont Baptist College,http://www.pbc.edu/</t>
  </si>
  <si>
    <t>US,Piedmont College,http://www.piedmont.edu/</t>
  </si>
  <si>
    <t>US,Pikeville College,http://www.pc.edu/</t>
  </si>
  <si>
    <t>US,Pillsbury Baptist Bible College,http://www.pillsbury.edu/</t>
  </si>
  <si>
    <t>US,Pittsburg State University,http://www.pittstate.edu/</t>
  </si>
  <si>
    <t>US,Pitzer College,http://www.pitzer.edu/</t>
  </si>
  <si>
    <t>US,Plymouth State College,http://www.plymouth.edu/</t>
  </si>
  <si>
    <t>US,Point Loma Nazarene College,http://www.ptloma.edu/</t>
  </si>
  <si>
    <t>US,Point Park College,http://www.ppc.edu/</t>
  </si>
  <si>
    <t>US,Polytechnic University,http://www.poly.edu/</t>
  </si>
  <si>
    <t>US,"Polytechnic University, Long Island Campus",http://www.poly.edu/li/</t>
  </si>
  <si>
    <t>US,"Polytechnic University, Westchester Graduate Center",http://www.poly.edu/west/</t>
  </si>
  <si>
    <t>US,Pomona College,http://www.pomona.edu/</t>
  </si>
  <si>
    <t>US,Portland Community College,http://www.pcc.edu/</t>
  </si>
  <si>
    <t>US,Portland State University,http://www.pdx.edu/</t>
  </si>
  <si>
    <t>US,Post University of Waterbury,http://www.post.edu/</t>
  </si>
  <si>
    <t>US,Prairie View Agricultural and Mechanical University,http://www.pvamu.edu/</t>
  </si>
  <si>
    <t>US,Pratt Institute,http://www.pratt.edu/</t>
  </si>
  <si>
    <t>US,Presbyterian College,http://www.presby.edu/</t>
  </si>
  <si>
    <t>US,Prescott College,http://www.prescott.edu/</t>
  </si>
  <si>
    <t>US,Preston University,http://www.preston.edu/</t>
  </si>
  <si>
    <t>US,Princeton University,http://www.princeton.edu/</t>
  </si>
  <si>
    <t>US,Principia College,http://www.prin.edu/</t>
  </si>
  <si>
    <t>US,Providence College,http://www.providence.edu/</t>
  </si>
  <si>
    <t>US,Puget Sound Christian College,http://members.aa.net/~bluvase/pscchome.html</t>
  </si>
  <si>
    <t>US,Purdue University,http://www.purdue.edu/</t>
  </si>
  <si>
    <t>US,Purdue University Calumet,http://www.calumet.purdue.edu/</t>
  </si>
  <si>
    <t>US,Purdue University North Central,http://www.pnc.edu/</t>
  </si>
  <si>
    <t>US,Quantum-Veritas International University,http://www.qvius.edu/</t>
  </si>
  <si>
    <t>US,Queens College,http://www.queens.edu/</t>
  </si>
  <si>
    <t>US,Quincy University,http://www.quincy.edu/</t>
  </si>
  <si>
    <t>US,Quinnipiac College,http://www.quinnipiac.edu/</t>
  </si>
  <si>
    <t>US,Radford University,http://www.runet.edu/</t>
  </si>
  <si>
    <t>US,Ramapo College of New Jersey,http://www.ramapo.edu/</t>
  </si>
  <si>
    <t>US,Rand Graduate School of Policy Studies,http://www.rgs.edu/</t>
  </si>
  <si>
    <t>US,Randolph-Macon College,http://www.rmc.edu/</t>
  </si>
  <si>
    <t>US,Randolph-Macon Woman's College,http://www.rmwc.edu/</t>
  </si>
  <si>
    <t>US,Rasmussen College,http://www.rasmussen.edu/</t>
  </si>
  <si>
    <t>US,"Rasmussen College, Florida Campuses",http://www.rasmussen.edu/locations/florida/</t>
  </si>
  <si>
    <t>US,"Rasmussen College, Illinois Campuses",http://www.rasmussen.edu/locations/illinois/</t>
  </si>
  <si>
    <t>US,"Rasmussen College, Minnesota Campuses",http://www.rasmussen.edu/locations/minnesota/</t>
  </si>
  <si>
    <t>US,"Rasmussen College, North Dakota Campuses",http://www.rasmussen.edu/locations/north-dakota/</t>
  </si>
  <si>
    <t>US,"Rasmussen College, Wisconsin Campuses",http://www.rasmussen.edu/locations/wisconsin/</t>
  </si>
  <si>
    <t>US,Reed College,http://www.reed.edu/</t>
  </si>
  <si>
    <t>US,Reformed Bible College,http://www.reformed.edu/</t>
  </si>
  <si>
    <t>US,Regent International University,http://www.regentinternational.net/</t>
  </si>
  <si>
    <t>US,Regent University,http://www.regent.edu/</t>
  </si>
  <si>
    <t>US,Regis College,http://www.regiscollege.edu/</t>
  </si>
  <si>
    <t>US,Regis University,http://www.regis.edu/</t>
  </si>
  <si>
    <t>US,Reinhardt College,http://www.reinhardt.edu/</t>
  </si>
  <si>
    <t>US,Rensselaer Polytechnic Institute,http://www.rpi.edu/</t>
  </si>
  <si>
    <t>US,Research College of Nursing - Rockhurst University,http://www.rockhurst.edu/3.0/academic_programs/nursing/admis3.html</t>
  </si>
  <si>
    <t>US,Rhode Island College,http://www.ric.edu/</t>
  </si>
  <si>
    <t>US,Rhode Island School of Design,http://www.risd.edu/</t>
  </si>
  <si>
    <t>US,Rhodes College,http://www.rhodes.edu/</t>
  </si>
  <si>
    <t>US,Rice University,http://www.rice.edu/</t>
  </si>
  <si>
    <t>US,Richard Stockton College of New Jersey,http://www.stockton.edu/</t>
  </si>
  <si>
    <t>US,Rider University,http://www.rider.edu/</t>
  </si>
  <si>
    <t>US,Ringling College of Art and Design,http://www.ringling.edu/</t>
  </si>
  <si>
    <t>US,Ripon College,http://www.ripon.edu/</t>
  </si>
  <si>
    <t>US,Rivier College,http://www.rivier.edu/</t>
  </si>
  <si>
    <t>US,Roanoke Bible College,http://www.roanokebible.edu/</t>
  </si>
  <si>
    <t>US,Roanoke College,http://www.roanoke.edu/</t>
  </si>
  <si>
    <t>US,Robert Morris College,http://www.robert-morris.edu/</t>
  </si>
  <si>
    <t>US,Robert Morris College of Chicago,http://www.rmcil.edu/</t>
  </si>
  <si>
    <t>US,Roberts Wesleyan College,http://www.rwc.edu/</t>
  </si>
  <si>
    <t>US,Rochester College,http://www.rc.edu/</t>
  </si>
  <si>
    <t>US,Rochester Institute of Technology,http://www.rit.edu/</t>
  </si>
  <si>
    <t>US,Rockford College,http://www.rockford.edu/</t>
  </si>
  <si>
    <t>US,Rockhurst College,http://www.rockhurst.edu/</t>
  </si>
  <si>
    <t>US,Rock Valley College,http://www.rvc.cc.il.us/</t>
  </si>
  <si>
    <t>US,Rocky Mountain College,http://www.rocky.edu/</t>
  </si>
  <si>
    <t>US,Rocky Mountain College of Art and Design,http://www.rmcad.edu/</t>
  </si>
  <si>
    <t>US,Rogers State University,http://www.rsu.edu/</t>
  </si>
  <si>
    <t>US,Roger Williams University,http://www.rwu.edu/</t>
  </si>
  <si>
    <t>US,Rollins College,http://www.rollins.edu/</t>
  </si>
  <si>
    <t>US,Roosevelt University,http://www.roosevelt.edu/</t>
  </si>
  <si>
    <t>US,Rose-Hulman Institute of Technology,http://www.rose-hulman.edu/</t>
  </si>
  <si>
    <t>US,Rosemont College,http://www.rosemont.edu/</t>
  </si>
  <si>
    <t>US,"Ross University, School of Medicine",http://www.rossmed.edu/</t>
  </si>
  <si>
    <t>US,Rowan University,http://www.rowan.edu/</t>
  </si>
  <si>
    <t>US,Rush University,http://www.rushu.rush.edu/</t>
  </si>
  <si>
    <t>US,Russel Sage College,http://www.sage.edu/RSC/</t>
  </si>
  <si>
    <t>US,Rust College,http://www.rustcollege.edu/</t>
  </si>
  <si>
    <t>US,"Rutgers, The State University of New Jersey",http://www.rutgers.edu/</t>
  </si>
  <si>
    <t>US,"Rutgers, The State University of New Jersey - Camden",http://camden-www.rutgers.edu/</t>
  </si>
  <si>
    <t>US,"Rutgers, The State University of New Jersey - Newark",http://rutgers-newark.rutgers.edu/</t>
  </si>
  <si>
    <t>US,Sacred Heart University,http://www.sacredheart.edu/</t>
  </si>
  <si>
    <t>US,Sage Graduate School,http://www.sage.edu/SGS/</t>
  </si>
  <si>
    <t>US,Saginaw Valley State University,http://www.svsu.edu/</t>
  </si>
  <si>
    <t>US,Salem College,http://www.salem.edu/</t>
  </si>
  <si>
    <t>US,Salem International University,http://www.salemiu.edu/</t>
  </si>
  <si>
    <t>US,Salem State College,http://www.salem.mass.edu/</t>
  </si>
  <si>
    <t>US,Salem Teikyo University,http://www.salem-teikyo.wvnet.edu/</t>
  </si>
  <si>
    <t>US,Salisbury State University,http://www.ssu.edu/</t>
  </si>
  <si>
    <t>US,Salve Regina University,http://www.salve.edu/</t>
  </si>
  <si>
    <t>US,Samford University,http://www.samford.edu/</t>
  </si>
  <si>
    <t>US,Sam Houston State University,http://www.shsu.edu/</t>
  </si>
  <si>
    <t>US,Samuel Merritt College,http://www.samuelmerritt.edu/</t>
  </si>
  <si>
    <t>US,San Diego State University,http://www.sdsu.edu/</t>
  </si>
  <si>
    <t>US,San Diego University for Integrative Studies,http://www.sduis.edu/</t>
  </si>
  <si>
    <t>US,Sanford-Brown Institute,http://www.sbjacksonville.com/</t>
  </si>
  <si>
    <t>US,San Francisco Art Institute,http://www.sfai.edu/</t>
  </si>
  <si>
    <t>US,San Francisco Conservatory of Music,http://www.sfcm.edu/</t>
  </si>
  <si>
    <t>US,San Francisco State University,http://www.sfsu.edu/</t>
  </si>
  <si>
    <t>US,San Joaquin College of Law,http://www.sjcl.org/</t>
  </si>
  <si>
    <t>US,San Jose Christian College,http://www.sjchristiancol.edu/</t>
  </si>
  <si>
    <t>US,San Jose State University,http://www.sjsu.edu/</t>
  </si>
  <si>
    <t>US,Santa Clara University,http://www.scu.edu/</t>
  </si>
  <si>
    <t>US,Sarah Lawrence College,http://www.slc.edu/</t>
  </si>
  <si>
    <t>US,Savannah College of Art and Design,http://www.scad.edu/</t>
  </si>
  <si>
    <t>US,Savannah State University,http://www.savstate.edu/</t>
  </si>
  <si>
    <t>US,Saybrook Institute,http://www.saybrook.org/</t>
  </si>
  <si>
    <t>US,Schiller International University,http://www.schiller.edu/</t>
  </si>
  <si>
    <t>US,Scholl College of Podiatric Medicine,http://www.scholl.edu/</t>
  </si>
  <si>
    <t>US,School for International Training,http://www.sit.edu/</t>
  </si>
  <si>
    <t>US,School of the Museum of Fine Arts,http://www.smfa.edu/</t>
  </si>
  <si>
    <t>US,School of the Visual Arts,http://www.schoolofvisualarts.edu/</t>
  </si>
  <si>
    <t>US,Schreiner College,http://www.schreiner.edu/</t>
  </si>
  <si>
    <t>US,Scripps College,http://www.scrippscol.edu/</t>
  </si>
  <si>
    <t>US,Seattle Pacific University,http://www.spu.edu/</t>
  </si>
  <si>
    <t>US,Seattle University,http://www.seattleu.edu/</t>
  </si>
  <si>
    <t>US,Seton Hall University,http://www.shu.edu/</t>
  </si>
  <si>
    <t>US,Seton Hill College,http://www.setonhill.edu/</t>
  </si>
  <si>
    <t>US,Shawnee Community College,http://www.shawnee.cc.il.us/</t>
  </si>
  <si>
    <t>US,Shawnee State University,http://www.shawnee.edu/</t>
  </si>
  <si>
    <t>US,Shaw University,http://www.shawuniversity.edu/</t>
  </si>
  <si>
    <t>US,Sheldon Jackson College,http://www.sheldonjackson.edu/</t>
  </si>
  <si>
    <t>US,Shenandoah University,http://www.su.edu/</t>
  </si>
  <si>
    <t>US,Shepherd College,http://www.shepherd.edu/</t>
  </si>
  <si>
    <t>US,Sherman College of Straight Chiropractic,http://www.sherman.edu/</t>
  </si>
  <si>
    <t>US,Shimer College,http://www.shimer.edu/</t>
  </si>
  <si>
    <t>US,Shippensburg University of Pennsylvania,http://www.ship.edu/</t>
  </si>
  <si>
    <t>US,Shoreline Community College,http://www.shoreline.edu/</t>
  </si>
  <si>
    <t>US,Shorter College,http://www.shorter.edu/</t>
  </si>
  <si>
    <t>US,Siena College,http://www.siena.edu/</t>
  </si>
  <si>
    <t>US,Siena Heights University,http://www.sienahts.edu/</t>
  </si>
  <si>
    <t>US,Sierra Nevada College,http://www.sierranevada.edu/</t>
  </si>
  <si>
    <t>US,Silver Lake College,http://www.sl.edu/</t>
  </si>
  <si>
    <t>US,Simmons College,http://www.simmons.edu/</t>
  </si>
  <si>
    <t>US,Simon's Rock College,http://www.simons-rock.edu/</t>
  </si>
  <si>
    <t>US,Simpson College,http://www.simpsonca.edu/</t>
  </si>
  <si>
    <t>US,Simpson College Iowa,http://www.simpson.edu/</t>
  </si>
  <si>
    <t>US,Sinte Gleska University,http://sinte.indian.com/</t>
  </si>
  <si>
    <t>US,Skadron College,http://skadron.com/</t>
  </si>
  <si>
    <t>US,Skidmore College,http://www.skidmore.edu/</t>
  </si>
  <si>
    <t>US,Slippery Rock University,http://www.sru.edu/</t>
  </si>
  <si>
    <t>US,Smith College,http://www.smith.edu/</t>
  </si>
  <si>
    <t>US,Sojourner-Douglass College,http://www.sdc.edu/</t>
  </si>
  <si>
    <t>US,Soka University of America,http://www.soka.edu</t>
  </si>
  <si>
    <t>US,Sonoma State University,http://www.sonoma.edu/</t>
  </si>
  <si>
    <t>US,South Carolina State University,http://www.scsu.edu/</t>
  </si>
  <si>
    <t>US,South Dakota School of Mines and Technology,http://www.sdsmt.edu/</t>
  </si>
  <si>
    <t>US,South Dakota State University,http://www.sdstate.edu/</t>
  </si>
  <si>
    <t>US,Southeastern Baptist College,http://www.southeasternbaptist.edu/</t>
  </si>
  <si>
    <t>US,Southeastern Bible College,http://www.sebc.edu/</t>
  </si>
  <si>
    <t>US,Southeastern College of the Assemblies of God,http://www.secollege.edu/</t>
  </si>
  <si>
    <t>US,Southeastern Louisiana University,http://www.southeastern.edu/</t>
  </si>
  <si>
    <t>US,Southeastern Oklahoma State University,http://www.sosu.edu/</t>
  </si>
  <si>
    <t>US,Southeastern University,http://www.seu.edu/</t>
  </si>
  <si>
    <t>US,Southeast Missouri State University,http://www.semo.edu/</t>
  </si>
  <si>
    <t>US,Southern Adventist University,http://www.southern.edu/</t>
  </si>
  <si>
    <t>US,Southern Arkansas University,http://www.saumag.edu/</t>
  </si>
  <si>
    <t>US,Southern California College,http://www.sccu.edu/</t>
  </si>
  <si>
    <t>US,Southern California College of Optometry,http://www.scco.edu/</t>
  </si>
  <si>
    <t>US,Southern California Institute of Architecture,http://www.sciarc.edu/</t>
  </si>
  <si>
    <t>US,Southern College of Optometry,http://www.sco.edu/</t>
  </si>
  <si>
    <t>US,Southern Connecticut State University,http://www.scsu.ctstateu.edu/</t>
  </si>
  <si>
    <t>US,Southern Illinois University at Carbondale,http://www.siu.edu/</t>
  </si>
  <si>
    <t>US,Southern Illinois University at Edwardsville,http://www.siue.edu/</t>
  </si>
  <si>
    <t>US,Southern Methodist University,http://www.smu.edu/</t>
  </si>
  <si>
    <t>US,Southern Nazarene University,http://www.snu.edu/</t>
  </si>
  <si>
    <t>US,Southern New Hampshire University,http://www.snhu.edu/</t>
  </si>
  <si>
    <t>US,Southern Oregon University,http://www.sou.edu/</t>
  </si>
  <si>
    <t>US,Southern Polytechnic State Univerisity,http://www.spsu.edu/</t>
  </si>
  <si>
    <t>US,Southern University - Baton Rouge,http://www.subr.edu/</t>
  </si>
  <si>
    <t>US,Southern University - New Orleans,http://www.suno.edu/</t>
  </si>
  <si>
    <t>US,Southern University - Shreveport,http://www.susla.edu/</t>
  </si>
  <si>
    <t>US,Southern Utah University,http://www.suu.edu/</t>
  </si>
  <si>
    <t>US,Southern Vermont College,http://www.svc.edu/</t>
  </si>
  <si>
    <t>US,Southern Wesleyan University,http://www.swu.edu/</t>
  </si>
  <si>
    <t>US,South Florida Bible College &amp; Theological Seminary,http://www.sfbc.edu/</t>
  </si>
  <si>
    <t>US,South Texas College of Law,http://www.stcl.edu/</t>
  </si>
  <si>
    <t>US,Southwest Baptist University,http://www.sbuniv.edu/</t>
  </si>
  <si>
    <t>US,Southwestern Adventist University,http://www.swau.edu/</t>
  </si>
  <si>
    <t>US,Southwestern Assemblies of God University,http://www.sagu.edu/</t>
  </si>
  <si>
    <t>US,Southwestern Baptist Theological Seminary,http://www.swbts.edu/</t>
  </si>
  <si>
    <t>US,Southwestern Christian College,http://www.soulsociety.com/swcc.html</t>
  </si>
  <si>
    <t>US,Southwestern Christian University,http://www.swcu.edu/</t>
  </si>
  <si>
    <t>US,Southwestern College Kansas,http://www.sckans.edu/</t>
  </si>
  <si>
    <t>US,Southwestern College Santa Fe,http://www.swc.edu/</t>
  </si>
  <si>
    <t>US,Southwestern Oklahoma State University,http://www.swosu.edu/</t>
  </si>
  <si>
    <t>US,Southwestern University,http://www.southwestern.edu/</t>
  </si>
  <si>
    <t>US,Southwestern University School of Law,http://www.swlaw.edu/</t>
  </si>
  <si>
    <t>US,Southwest Missouri State University,http://www.smsu.edu/</t>
  </si>
  <si>
    <t>US,Southwest Missouri State University - West Plains,http://www.wp.smsu.edu/</t>
  </si>
  <si>
    <t>US,Southwest State University,http://www.southwest.msus.edu/</t>
  </si>
  <si>
    <t>US,Southwest Texas State University,http://www.swt.edu/</t>
  </si>
  <si>
    <t>US,Southwest University,http://www.southwest.edu/</t>
  </si>
  <si>
    <t>US,Spalding University,http://www.spalding.edu/</t>
  </si>
  <si>
    <t>US,Spelman College,http://www.spelman.edu/</t>
  </si>
  <si>
    <t>US,Spertus Institute of Jewish Studies,http://www.spertus.edu/</t>
  </si>
  <si>
    <t>US,Spring Arbor College,http://www.arbor.edu/</t>
  </si>
  <si>
    <t>US,Springfield College,http://www.spfldcol.edu/</t>
  </si>
  <si>
    <t>US,Spring Hill College,http://www.shc.edu/</t>
  </si>
  <si>
    <t>US,St. Ambrose University,http://www.sau.edu/</t>
  </si>
  <si>
    <t>US,Standford Online University,http://www.standford-university.cjb.net/</t>
  </si>
  <si>
    <t>US,Standford University,http://standford-university.edu.tf/</t>
  </si>
  <si>
    <t>US,St. Andrews Presbyterian College,http://www.sapc.edu/</t>
  </si>
  <si>
    <t>US,Stanford University,http://www.stanford.edu/</t>
  </si>
  <si>
    <t>US,St. Anselm College,http://www.anselm.edu/</t>
  </si>
  <si>
    <t>US,St. Anthony College of Nursing,http://www.sacn.edu/</t>
  </si>
  <si>
    <t>US,State University of New York at Albany,http://www.albany.edu/</t>
  </si>
  <si>
    <t>US,State University of New York at Binghamton,http://www.binghamton.edu/</t>
  </si>
  <si>
    <t>US,State University of New York at Buffalo,http://www.buffalo.edu/</t>
  </si>
  <si>
    <t>US,State University of New York at New Paltz,http://www.newpaltz.edu/</t>
  </si>
  <si>
    <t>US,State University of New York at Oswego,http://www.oswego.edu/</t>
  </si>
  <si>
    <t>US,State University of New York at Stony Brook,http://www.sunysb.edu/</t>
  </si>
  <si>
    <t>US,State University of New York College at Brockport,http://www.brockport.edu/</t>
  </si>
  <si>
    <t>US,State University of New York College at Cortland,http://www.cortland.edu/</t>
  </si>
  <si>
    <t>US,State University of New York College at Fredonia,http://www.fredonia.edu/</t>
  </si>
  <si>
    <t>US,State University of New York College at Geneseo,http://www.geneseo.edu/</t>
  </si>
  <si>
    <t>US,State University of New York College at Old Westbury,http://www.oldwestbury.edu/</t>
  </si>
  <si>
    <t>US,State University of New York College at Oneonta,http://www.oneonta.edu/</t>
  </si>
  <si>
    <t>US,State University of New York College at Plattsburgh,http://www.plattsburgh.edu/</t>
  </si>
  <si>
    <t>US,State University of New York College at Potsdam,http://www.potsdam.edu/</t>
  </si>
  <si>
    <t>US,State University of New York College at Purchase,http://www.purchase.edu/</t>
  </si>
  <si>
    <t>US,State University of New York College of Agriculture and Technology at Cobleskill,http://www.cobleskill.edu/</t>
  </si>
  <si>
    <t>US,State University of New York College of Environmental Science and Forestry,http://www.esf.edu/</t>
  </si>
  <si>
    <t>US,State University of New York College of Optometry,http://www.sunyopt.edu/</t>
  </si>
  <si>
    <t>US,State University of New York College of Technology at Alfred,http://www.alfredtech.edu/</t>
  </si>
  <si>
    <t>US,State University of New York College of Technology at Farmingdale,http://www.farmingdale.edu/</t>
  </si>
  <si>
    <t>US,State University of New York Downstate Medical Center,http://www.hscbklyn.edu/</t>
  </si>
  <si>
    <t>US,State University of New York Empire State College,http://www.esc.edu/</t>
  </si>
  <si>
    <t>US,State University of New York Health Sience Centre Syracuse,http://www.hscsyr.edu/</t>
  </si>
  <si>
    <t>US,State University of New York Institute of Technology at Utica/Rome,http://www.sunyit.edu/</t>
  </si>
  <si>
    <t>US,State University of New York Maritime College,http://www.sunymaritime.edu/</t>
  </si>
  <si>
    <t>US,State University of New York School of Engineering and Applied Sciences,http://www.eng.buffalo.edu/</t>
  </si>
  <si>
    <t>US,State University of New York (SUNY),http://www.sunycentral.edu/</t>
  </si>
  <si>
    <t>US,State University of New York Upstate Medical University ,http://www.upstate.edu/</t>
  </si>
  <si>
    <t>US,State University of West Georgia,http://www.westga.edu/</t>
  </si>
  <si>
    <t>US,St. Augustine's College North Carolina,http://www.st-aug.edu/</t>
  </si>
  <si>
    <t>US,St. Bernard's Institute,http://www.sbi.edu/</t>
  </si>
  <si>
    <t>US,St. Bonaventure University,http://www.sbu.edu/</t>
  </si>
  <si>
    <t>US,St. Cloud State University,http://www.stcloudstate.edu/</t>
  </si>
  <si>
    <t>US,St. Edwards University,http://www.stedwards.edu/</t>
  </si>
  <si>
    <t>US,Stefan University,http://www.stefan-university.edu/</t>
  </si>
  <si>
    <t>US,Stephen F. Austin State University,http://www.sfasu.edu/</t>
  </si>
  <si>
    <t>US,Stephens College,http://www.stephens.edu/</t>
  </si>
  <si>
    <t>US,Sterling College,http://www.sterling.edu/</t>
  </si>
  <si>
    <t>US,Stetson University,http://www.stetson.edu/</t>
  </si>
  <si>
    <t>US,Stevens Institute of Technology,http://www.stevens-tech.edu/</t>
  </si>
  <si>
    <t>US,"St. Francis College, Brooklyn Heights",http://www.stfranciscollege.edu/</t>
  </si>
  <si>
    <t>US,"St. Francis College, Fort Wayne",http://www.sfc.edu/</t>
  </si>
  <si>
    <t>US,"St. Francis College, Loretto",http://www.sfcpa.edu/</t>
  </si>
  <si>
    <t>US,St. Francis Medical Center College of Nursing,http://www.osfsaintfrancis.org/</t>
  </si>
  <si>
    <t>US,St. George's University,http://www.sgu.edu/</t>
  </si>
  <si>
    <t>US,Stillman College,http://www.stillman.edu/</t>
  </si>
  <si>
    <t>US,St. John Fisher College,http://www.sjfc.edu/</t>
  </si>
  <si>
    <t>US,St. John's College Maryland,http://www.sjca.edu/</t>
  </si>
  <si>
    <t>US,St. John's College New Mexico,http://www.sjcsf.edu/</t>
  </si>
  <si>
    <t>US,St. John's Seminary,http://www.stjohnsem.edu/</t>
  </si>
  <si>
    <t>US,St. John's University,http://www.stjohns.edu/</t>
  </si>
  <si>
    <t>US,St. Joseph College,http://www.sjc.edu/</t>
  </si>
  <si>
    <t>US,St. Joseph College of Nursing,http://www.stfrancis.edu/sjcn/sjcnhome.htm</t>
  </si>
  <si>
    <t>US,St. Joseph's College,http://www.saintjoe.edu/</t>
  </si>
  <si>
    <t>US,St. Joseph's College New York,http://www.sjcny.edu/</t>
  </si>
  <si>
    <t>US,"St. Joseph's College New York, Suffolk Campus",http://www.sjcny.edu/patchogue/</t>
  </si>
  <si>
    <t>US,St. Joseph's College of Maine,http://www.sjcme.edu/</t>
  </si>
  <si>
    <t>US,St. Joseph's University,http://www.sju.edu/</t>
  </si>
  <si>
    <t>US,St. Lawrence University,http://www.stlawu.edu/</t>
  </si>
  <si>
    <t>US,St. Leo College,http://www.saintleo.edu/</t>
  </si>
  <si>
    <t>US,St. Louis Christian College,http://www.slcc4ministry.edu/</t>
  </si>
  <si>
    <t>US,St. Louis College of Pharmacy,http://www.stlcop.edu/</t>
  </si>
  <si>
    <t>US,St. Louis University,http://www.slu.edu/</t>
  </si>
  <si>
    <t>US,St. Luke's College,http://www.saint-lukes.org/about/slc/</t>
  </si>
  <si>
    <t>US,St. Martin's College,http://www.stmartin.edu/</t>
  </si>
  <si>
    <t>US,St. Mary College,http://www.smcks.edu/</t>
  </si>
  <si>
    <t>US,St. Mary-of-the-Woods College,http://www.smwc.edu/</t>
  </si>
  <si>
    <t>US,St. Mary's College Indiana,http://www.saintmarys.edu/</t>
  </si>
  <si>
    <t>US,St. Mary's College of California,http://www.stmarys-ca.edu/</t>
  </si>
  <si>
    <t>US,St. Mary's College of Maryland,http://www.smcm.edu/</t>
  </si>
  <si>
    <t>US,St. Mary's University of Minnesota,http://www.smumn.edu/</t>
  </si>
  <si>
    <t>US,St. Mary's University of San Antonio,http://www.stmarytx.edu/</t>
  </si>
  <si>
    <t>US,St. Meinrad College,http://www.saintmeinrad.edu/</t>
  </si>
  <si>
    <t>US,St. Michael's College,http://www.smcvt.edu/</t>
  </si>
  <si>
    <t>US,St. Norbert College,http://www.snc.edu/</t>
  </si>
  <si>
    <t>US,St. Olaf College,http://www.stolaf.edu/</t>
  </si>
  <si>
    <t>US,Stonehill College,http://www.stonehill.edu/</t>
  </si>
  <si>
    <t>US,St. Paul's College,http://www.saintpauls.edu/</t>
  </si>
  <si>
    <t>US,St. Petersburg College,http://www.spcollege.edu/</t>
  </si>
  <si>
    <t>US,St. Peter's College,http://www.spc.edu/</t>
  </si>
  <si>
    <t>US,Strayer University,http://www.strayer.edu/</t>
  </si>
  <si>
    <t>US,St. Thomas Aquinas College,http://www.stac.edu/</t>
  </si>
  <si>
    <t>US,St. Thomas University,http://www.stu.edu/</t>
  </si>
  <si>
    <t>US,St. Vincent College,http://www.stvincent.edu/</t>
  </si>
  <si>
    <t>US,St. Xavier University,http://www.sxu.edu/</t>
  </si>
  <si>
    <t>US,Suffolk University,http://www.suffolk.edu/</t>
  </si>
  <si>
    <t>US,Sullivan College,http://www.sullivan.edu/</t>
  </si>
  <si>
    <t>US,Sul Ross State University,http://www.sulross.edu/</t>
  </si>
  <si>
    <t>US,Susquehanna University,http://www.susqu.edu/</t>
  </si>
  <si>
    <t>US,Swarthmore College,http://www.swarthmore.edu/</t>
  </si>
  <si>
    <t>US,Sweet Briar College,http://www.sbc.edu/</t>
  </si>
  <si>
    <t>US,Syracuse University,http://www.syr.edu/</t>
  </si>
  <si>
    <t>US,Tabor College,http://www.tabor.edu/</t>
  </si>
  <si>
    <t>US,Talladega College,http://www.talladega.edu/</t>
  </si>
  <si>
    <t>US,Tarleton State University,http://www.tarleton.edu/</t>
  </si>
  <si>
    <t>US,Taylor University,http://www.tayloru.edu/</t>
  </si>
  <si>
    <t>US,"Taylor University, Fort Wayne Campus",http://www.tayloru.edu/fw/</t>
  </si>
  <si>
    <t>US,"Teachers College, Columbia University",http://www.tc.columbia.edu/</t>
  </si>
  <si>
    <t>US,Temple University,http://www.temple.edu/</t>
  </si>
  <si>
    <t>US,Temple University School of Podiatric Medicine,http://www.pcpm.edu/</t>
  </si>
  <si>
    <t>US,Tennessee State University,http://www.tnstate.edu/</t>
  </si>
  <si>
    <t>US,Tennessee Technological University,http://www.tntech.edu/</t>
  </si>
  <si>
    <t>US,Tennessee Temple University,http://www.tntemple.edu/</t>
  </si>
  <si>
    <t>US,Tennessee Wesleyan College,http://www.twcnet.edu/</t>
  </si>
  <si>
    <t>US,Texas A&amp;M International University,http://www.tamiu.edu/</t>
  </si>
  <si>
    <t>US,Texas A&amp;M University,http://www.tamu.edu/</t>
  </si>
  <si>
    <t>US,Texas A&amp;M University - Commerce,http://www.tamu-commerce.edu/</t>
  </si>
  <si>
    <t>US,Texas A&amp;M University - Corpus Christi,http://www.tamucc.edu/</t>
  </si>
  <si>
    <t>US,Texas A&amp;M University - Galveston,http://www.tamug.tamu.edu/</t>
  </si>
  <si>
    <t>US,Texas A&amp;M University - Kingsville,http://www.tamuk.edu/</t>
  </si>
  <si>
    <t>US,Texas A&amp;M University - Texarkana,http://www.tamut.edu/</t>
  </si>
  <si>
    <t>US,Texas Chiropractic College,http://www.txchiro.edu/</t>
  </si>
  <si>
    <t>US,Texas Christian University,http://www.tcu.edu/</t>
  </si>
  <si>
    <t>US,Texas College,http://www.texascollege.edu/</t>
  </si>
  <si>
    <t>US,Texas College of Osteopathic Medicine,http://www.hsc.unt.edu/education/tcom/</t>
  </si>
  <si>
    <t>US,Texas Lutheran University,http://www.txlutheran.edu/</t>
  </si>
  <si>
    <t>US,Texas Southern University,http://www.tsu.edu/</t>
  </si>
  <si>
    <t>US,Texas Tech University,http://www.ttu.edu/</t>
  </si>
  <si>
    <t>US,Texas Tech University Health Science Center,http://www.ttuhsc.edu/</t>
  </si>
  <si>
    <t>US,Texas Wesleyan University,http://www.txwesleyan.edu/</t>
  </si>
  <si>
    <t>US,Texas Woman's University,http://www.twu.edu/</t>
  </si>
  <si>
    <t>US,The American College,http://www.amercoll.edu/</t>
  </si>
  <si>
    <t>US,The Art Institute of Boston,http://www.aiboston.edu/</t>
  </si>
  <si>
    <t>US,The Art Institutes International Portland,http://www.aipd.aii.edu/</t>
  </si>
  <si>
    <t>US,The Art Institutes International San Francisco,http://www.aisf.aii.edu/</t>
  </si>
  <si>
    <t>US,The Boston Conservatory,http://www.bostonconservatory.edu/</t>
  </si>
  <si>
    <t>US,The Catholic University of America,http://www.cua.edu/</t>
  </si>
  <si>
    <t>US,The Chicago School of Professional Psychology,http://www.thechicagoschool.edu/</t>
  </si>
  <si>
    <t>US,The College of Insurance,http://www.tci.edu/</t>
  </si>
  <si>
    <t>US,The College of New Jersey,http://www.tcnj.edu/</t>
  </si>
  <si>
    <t>US,The College of Santa Fe,http://www.csf.edu/</t>
  </si>
  <si>
    <t>US,The College of St. Scholastica,http://www.css.edu/</t>
  </si>
  <si>
    <t>US,The College of Westchester,http://www.cw.edu/</t>
  </si>
  <si>
    <t>US,The College of Wooster,http://www.wooster.edu/</t>
  </si>
  <si>
    <t>US,The Cooper Union for the Advancement of Science and Art,http://www.cooper.edu/</t>
  </si>
  <si>
    <t>US,The Corcoran College of Art,http://www.corcoran.edu/college/</t>
  </si>
  <si>
    <t>US,The Curtis Institute of Music,http://www.curtis.edu/</t>
  </si>
  <si>
    <t>US,The Defiance College,http://www.defiance.edu/</t>
  </si>
  <si>
    <t>US,The Dickinson School of Law,http://www.dsl.edu/</t>
  </si>
  <si>
    <t>US,The Illinois Institute of Art-Chicago,http://www.ilic.artinstitutes.edu/</t>
  </si>
  <si>
    <t>US,The Johns Hopkins University,http://www.jhu.edu/</t>
  </si>
  <si>
    <t>US,The Juilliard School,http://www.juilliard.edu/</t>
  </si>
  <si>
    <t>US,The Leadership Institute of Seattle,http://www.lios.org/</t>
  </si>
  <si>
    <t>US,"The Maryland Institute, College of Art",http://www.mica.edu/</t>
  </si>
  <si>
    <t>US,The Master's College,http://www.masters.edu/</t>
  </si>
  <si>
    <t>US,The McGregor School of Antioch University,http://www.mcgregor.edu/</t>
  </si>
  <si>
    <t>US,The Naropa Institute,http://www.naropa.edu/</t>
  </si>
  <si>
    <t>US,The New School,http://www.newschool.edu/</t>
  </si>
  <si>
    <t>US,The Rockefeller University,http://www.rockefeller.edu/</t>
  </si>
  <si>
    <t>US,The School of the Art Institute of Chicago,http://www.artic.edu/</t>
  </si>
  <si>
    <t>US,The Scripps Research Institute,http://www.scripps.edu/</t>
  </si>
  <si>
    <t>US,The Southern Christian University,http://www.southernchristian.edu/</t>
  </si>
  <si>
    <t>US,The Tulane University of New Orleans,http://www.tulane.edu/</t>
  </si>
  <si>
    <t>US,The Union Institute,http://www.tui.edu/</t>
  </si>
  <si>
    <t>US,Thiel College,http://www.thiel.edu/</t>
  </si>
  <si>
    <t>US,Thomas A. Edison State College,http://www.tesc.edu/</t>
  </si>
  <si>
    <t>US,Thomas Aquinas College,http://www.thomasaquinas.edu/</t>
  </si>
  <si>
    <t>US,Thomas College Maine,http://www.thomas.edu/</t>
  </si>
  <si>
    <t>US,Thomas Jefferson University,http://www.tju.edu/</t>
  </si>
  <si>
    <t>US,Thomas More College,http://www.thomasmore.edu/</t>
  </si>
  <si>
    <t>US,Thomas More College of Liberal Arts,http://www.thomasmorecollege.edu/</t>
  </si>
  <si>
    <t>US,Thomas University,http://www.thomasu.edu/</t>
  </si>
  <si>
    <t>US,Thunderbird School of Global Management,http://www.thunderbird.edu/</t>
  </si>
  <si>
    <t>US,Tiffin University,http://www.tiffin.edu/</t>
  </si>
  <si>
    <t>US,Toccoa Falls College,http://www.toccoafalls.edu/</t>
  </si>
  <si>
    <t>US,Tomball College,http://wwwtc.nhmccd.edu/</t>
  </si>
  <si>
    <t>US,Tougaloo College,http://www.tougaloo.edu/</t>
  </si>
  <si>
    <t>US,Touro College,http://www.touro.edu/</t>
  </si>
  <si>
    <t>US,Touro University,http://www.tu.edu/</t>
  </si>
  <si>
    <t>US,Towson University,http://www.towson.edu/</t>
  </si>
  <si>
    <t>US,Transylvania University,http://www.transy.edu/</t>
  </si>
  <si>
    <t>US,Trevecca Nazarene University,http://www.trevecca.edu/</t>
  </si>
  <si>
    <t>US,Tri-College University,http://www.ndsu.nodak.edu/tricollege/</t>
  </si>
  <si>
    <t>US,Trident University,http://www.trident.edu/</t>
  </si>
  <si>
    <t>US,Trinity Bible College,http://www.tbc2day.edu/</t>
  </si>
  <si>
    <t>US,Trinity Christian College,http://www.trnty.edu/</t>
  </si>
  <si>
    <t>US,Trinity College Connecticut,http://www.trincoll.edu/</t>
  </si>
  <si>
    <t>US,Trinity College of Florida,http://www.trinitycollege.edu/</t>
  </si>
  <si>
    <t>US,Trinity College of Vermont,http://www.trinityvt.edu/</t>
  </si>
  <si>
    <t>US,Trinity International University,http://www.trin.edu/</t>
  </si>
  <si>
    <t>US,"Trinity International University (Excel), Miami",http://www.tiu.edu/excel/index.html</t>
  </si>
  <si>
    <t>US,Trinity University,http://www.trinitydc.edu/</t>
  </si>
  <si>
    <t>US,Trinity University,http://www.trinity.edu/</t>
  </si>
  <si>
    <t>US,Tri-State University,http://www.tristate.edu/</t>
  </si>
  <si>
    <t>US,Triton College,http://www.triton.cc.il.us/</t>
  </si>
  <si>
    <t>US,Troy University,http://www.troy.edu/</t>
  </si>
  <si>
    <t>US,"Troy University, Dothan",http://dothan.troy.edu/</t>
  </si>
  <si>
    <t>US,"Troy University, Montgomery",http://montgomery.troy.edu/</t>
  </si>
  <si>
    <t>US,"Troy University, Phenix City",http://phenix.troy.edu/</t>
  </si>
  <si>
    <t>US,"Troy University, Troy",http://troy.troy.edu/</t>
  </si>
  <si>
    <t>US,Truman College,http://www.trumancollege.net/</t>
  </si>
  <si>
    <t>US,Truman State University,http://www.truman.edu/</t>
  </si>
  <si>
    <t>US,Tufts University,http://www.tufts.edu/</t>
  </si>
  <si>
    <t>US,Tui Online University,http://www.tuiu.edu/</t>
  </si>
  <si>
    <t>US,Tusculum College,http://www.tusculum.edu/</t>
  </si>
  <si>
    <t>US,Tuskegee University,http://www.tusk.edu/</t>
  </si>
  <si>
    <t>US,Uniformed Services Universty of the Health Sciences,http://www.usuhs.mil/</t>
  </si>
  <si>
    <t>US,Union College,http://www.union.edu/</t>
  </si>
  <si>
    <t>US,Union College Kentucky,http://www.unionky.edu/</t>
  </si>
  <si>
    <t>US,Union College Nebraska,http://www.ucollege.edu/</t>
  </si>
  <si>
    <t>US,Union Theological Seminary (UTS),http://www.union-psce.edu/</t>
  </si>
  <si>
    <t>US,Union University,http://www.uu.edu/</t>
  </si>
  <si>
    <t>US,United States Air Force Academy,http://www.usafa.af.mil/</t>
  </si>
  <si>
    <t>US,United States Coast Guard Academy,http://www.cga.edu/</t>
  </si>
  <si>
    <t>US,United States International University,http://www.usiu.edu/</t>
  </si>
  <si>
    <t>US,United States Merchant Marine Academy,http://www.usmma.edu/</t>
  </si>
  <si>
    <t>US,United States Military Academy,http://www.usma.edu/</t>
  </si>
  <si>
    <t>US,United States Naval Academy,http://www.usna.edu/</t>
  </si>
  <si>
    <t>US,United States Sports Academy,http://www.sport.ussa.edu/</t>
  </si>
  <si>
    <t>US,Unity College,http://www.unity.edu/</t>
  </si>
  <si>
    <t>US,University of Advancing Technology (UAT),http://www.uat.edu/</t>
  </si>
  <si>
    <t>US,University of Akron,http://www.uakron.edu/</t>
  </si>
  <si>
    <t>US,University of Alabama - Birmingham,http://www.uab.edu/</t>
  </si>
  <si>
    <t>US,University of Alabama - Huntsville,http://www.uah.edu/</t>
  </si>
  <si>
    <t>US,University of Alabama - Tuscaloosa,http://www.ua.edu/</t>
  </si>
  <si>
    <t>US,University of Alanta,http://www.uofa.edu/</t>
  </si>
  <si>
    <t>US,University of Alaska - Anchorage,http://www.uaa.alaska.edu/</t>
  </si>
  <si>
    <t>US,University of Alaska - Fairbanks,http://www.uaf.edu/</t>
  </si>
  <si>
    <t>US,University of Alaska - Southeast,http://www.uas.alaska.edu/</t>
  </si>
  <si>
    <t>US,University of Alaska (System),http://www.alaska.edu/</t>
  </si>
  <si>
    <t>US,University of Arizona,http://www.arizona.edu/</t>
  </si>
  <si>
    <t>US,University of Arkansas at Fayetteville,http://www.uark.edu/</t>
  </si>
  <si>
    <t>US,University of Arkansas at Little Rock,http://www.ualr.edu/</t>
  </si>
  <si>
    <t>US,University of Arkansas at Monticello,http://www.uamont.edu/</t>
  </si>
  <si>
    <t>US,University of Arkansas at Pine Bluff,http://www.uapb.edu/</t>
  </si>
  <si>
    <t>US,University of Arkansas for Medical Sciences,http://www.uams.edu/</t>
  </si>
  <si>
    <t>US,University of Arkansas (System),http://www.uasys.edu/</t>
  </si>
  <si>
    <t>US,University of Baltimore,http://www.ubalt.edu/</t>
  </si>
  <si>
    <t>US,University of Bridgeport,http://www.bridgeport.edu/</t>
  </si>
  <si>
    <t>US,"University of California, Berkeley",http://www.berkeley.edu/</t>
  </si>
  <si>
    <t>US,"University of California, Davis",http://www.ucdavis.edu/</t>
  </si>
  <si>
    <t>US,"University of California, Hastings College of Law",http://www.uchastings.edu/</t>
  </si>
  <si>
    <t>US,"University of California, Irvine",http://www.uci.edu/</t>
  </si>
  <si>
    <t>US,"University of California, Los Angeles",http://www.ucla.edu/</t>
  </si>
  <si>
    <t>US,"University of California, Merced",http://www.ucmerced.edu/</t>
  </si>
  <si>
    <t>US,"University of California, Oakland",http://www.ucop.edu/</t>
  </si>
  <si>
    <t>US,"University of California, Riverside",http://www.ucr.edu/</t>
  </si>
  <si>
    <t>US,"University of California, San Diego",http://www.ucsd.edu/</t>
  </si>
  <si>
    <t>US,"University of California, San Francisco",http://www.ucsf.edu/</t>
  </si>
  <si>
    <t>US,"University of California, Santa Barbara",http://www.ucsb.edu/</t>
  </si>
  <si>
    <t>US,"University of California, Santa Cruz",http://www.ucsc.edu/</t>
  </si>
  <si>
    <t>US,University of California System,http://www.universityofcalifornia.edu/</t>
  </si>
  <si>
    <t>US,University of Central Arkansas,http://www.uca.edu/</t>
  </si>
  <si>
    <t>US,University of Central Florida,http://www.ucf.edu/</t>
  </si>
  <si>
    <t>US,University of Central Missouri,http://www.ucmo.edu/</t>
  </si>
  <si>
    <t>US,University of Central Oklahoma,http://www.ucok.edu/</t>
  </si>
  <si>
    <t>US,University of Central Texas,http://www.vvm.com/uct/</t>
  </si>
  <si>
    <t>US,University of Charleston,http://www.uchaswv.edu/</t>
  </si>
  <si>
    <t>US,University of Charleston South Carolina,http://univchas.cofc.edu/</t>
  </si>
  <si>
    <t>US,University of Chicago,http://www.uchicago.edu/</t>
  </si>
  <si>
    <t>US,University of Cincinnati,http://www.uc.edu/</t>
  </si>
  <si>
    <t>US,University of Colorado at Boulder,http://www.colorado.edu/</t>
  </si>
  <si>
    <t>US,University of Colorado at Colorado Springs,http://www.uccs.edu/</t>
  </si>
  <si>
    <t>US,University of Colorado at Denver,http://www.cudenver.edu/</t>
  </si>
  <si>
    <t>US,University of Colorado Health Sciences Center,http://www.uchsc.edu/</t>
  </si>
  <si>
    <t>US,University of Connecticut,http://www.uconn.edu/</t>
  </si>
  <si>
    <t>US,University of Connecticut at Avery Point,http://www.averypoint.uconn.edu/</t>
  </si>
  <si>
    <t>US,University of Connecticut at Hartford,http://vm.uconn.edu/~wwwhtfd/ugrad/</t>
  </si>
  <si>
    <t>US,University of Connecticut at Stamford,http://www.stamford.uconn.edu/</t>
  </si>
  <si>
    <t>US,University of Connecticut at Waterbury,http://www.waterbury.uconn.edu/</t>
  </si>
  <si>
    <t>US,University of Connecticut Health Center,http://www.uchc.edu/</t>
  </si>
  <si>
    <t>US,University of Dallas,http://www.udallas.edu/</t>
  </si>
  <si>
    <t>US,University of Dayton,http://www.udayton.edu/</t>
  </si>
  <si>
    <t>US,University of Delaware,http://www.udel.edu/</t>
  </si>
  <si>
    <t>US,University of Denver,http://www.du.edu/</t>
  </si>
  <si>
    <t>US,University of Detroit Mercy,http://www.udmercy.edu/</t>
  </si>
  <si>
    <t>US,University of Dubuque,http://www.dbq.edu/</t>
  </si>
  <si>
    <t>US,University of Evansville,http://www.evansville.edu/</t>
  </si>
  <si>
    <t>US,University of Findlay,http://www.findlay.edu/</t>
  </si>
  <si>
    <t>US,University of Florida,http://www.ufl.edu/</t>
  </si>
  <si>
    <t>US,University of Georgia,http://www.uga.edu/</t>
  </si>
  <si>
    <t>US,University of Great Falls,http://www.ugf.edu/</t>
  </si>
  <si>
    <t>US,University of Hartford,http://www.hartford.edu/</t>
  </si>
  <si>
    <t>US,University of Hawaii - Hilo,http://www.uhh.hawaii.edu/</t>
  </si>
  <si>
    <t>US,University of Hawaii - Manoa,http://www.uhm.hawaii.edu/</t>
  </si>
  <si>
    <t>US,University Of Hawaii - System,http://www.hawaii.edu/</t>
  </si>
  <si>
    <t>US,University of Hawaii - West Oahu,http://www.uhwo.hawaii.edu/</t>
  </si>
  <si>
    <t>US,University of Health Sciences,http://www.uhs.edu/</t>
  </si>
  <si>
    <t>US,University of Houston,http://www.uh.edu/</t>
  </si>
  <si>
    <t>US,"University of Houston, Clear Lake",http://www.cl.uh.edu/</t>
  </si>
  <si>
    <t>US,"University of Houston, Downtown",http://www.dt.uh.edu/</t>
  </si>
  <si>
    <t>US,"University of Houston, Victoria",http://www.vic.uh.edu/</t>
  </si>
  <si>
    <t>US,University of Idaho,http://www.uidaho.edu/</t>
  </si>
  <si>
    <t>US,University of Illinois,http://www.uillinois.edu/</t>
  </si>
  <si>
    <t>US,University of Illinois at Chicago,http://www.uic.edu/</t>
  </si>
  <si>
    <t>US,University of Illinois at Springfield,http://www.uis.edu/</t>
  </si>
  <si>
    <t>US,University of Illinois at Urbana-Champaign,http://www.uiuc.edu/</t>
  </si>
  <si>
    <t>US,University of Indianapolis,http://www.uindy.edu/</t>
  </si>
  <si>
    <t>US,University of Iowa,http://www.uiowa.edu/</t>
  </si>
  <si>
    <t>US,University of Kansas,http://www.ku.edu/</t>
  </si>
  <si>
    <t>US,University of Kentucky,http://www.uky.edu/</t>
  </si>
  <si>
    <t>US,University of La Verne,http://www.ulaverne.edu/</t>
  </si>
  <si>
    <t>US,University of Louisiana at Lafayette,http://www.louisiana.edu/</t>
  </si>
  <si>
    <t>US,University of Louisiana at Monroe,http://www.ulm.edu/</t>
  </si>
  <si>
    <t>US,University of Louisville,http://www.louisville.edu/</t>
  </si>
  <si>
    <t>US,"University of Maine, Augusta",http://www.uma.maine.edu/</t>
  </si>
  <si>
    <t>US,"University of Maine, Farmington",http://www.umf.maine.edu/</t>
  </si>
  <si>
    <t>US,"University of Maine, Fort Kent",http://www.umfk.maine.edu/</t>
  </si>
  <si>
    <t>US,"University of Maine, Machias",http://www.umm.maine.edu/</t>
  </si>
  <si>
    <t>US,"University of Maine, Orono",http://www.umaine.edu/</t>
  </si>
  <si>
    <t>US,"University of Maine, Presque Isle",http://www.umpi.maine.edu/</t>
  </si>
  <si>
    <t>US,University of Maine (System),http://www.maine.edu/</t>
  </si>
  <si>
    <t>US,University of Management &amp; Technology,http://www.umtweb.edu/</t>
  </si>
  <si>
    <t>US,University of Mary,http://www.umary.edu/</t>
  </si>
  <si>
    <t>US,University of Mary Hardin-Baylor,http://www.umhb.edu/</t>
  </si>
  <si>
    <t>US,University of Maryland at Baltimore,http://www.umbc.edu/</t>
  </si>
  <si>
    <t>US,University of Maryland at College Park,http://www.umd.edu/</t>
  </si>
  <si>
    <t>US,University of Maryland Baltimore County,http://www.umbc.edu/</t>
  </si>
  <si>
    <t>US,University of Maryland Eastern Shore,http://www.umes.edu/</t>
  </si>
  <si>
    <t>US,University of Maryland Medicine,http://www.umm.edu/</t>
  </si>
  <si>
    <t>US,University of Maryland (System),http://www.ums.edu/</t>
  </si>
  <si>
    <t>US,University of Maryland University College,http://www.umuc.edu/</t>
  </si>
  <si>
    <t>US,University of Massachusetts at Amherst,http://www.umass.edu/</t>
  </si>
  <si>
    <t>US,University of Massachusetts at Boston,http://www.umb.edu/</t>
  </si>
  <si>
    <t>US,University of Massachusetts at Dartmouth,http://www.umassd.edu/</t>
  </si>
  <si>
    <t>US,University of Massachusetts at Lowell,http://www.uml.edu/</t>
  </si>
  <si>
    <t>US,University of Massachusetts Medical Center at Worcester,http://www.ummed.edu/</t>
  </si>
  <si>
    <t>US,University of Massachusetts (System),http://www.massachusetts.edu/</t>
  </si>
  <si>
    <t>US,University of Medicine and Dentistry of New Jersey,http://www.umdnj.edu/</t>
  </si>
  <si>
    <t>US,University of Memphis,http://www.memphis.edu/</t>
  </si>
  <si>
    <t>US,University of Miami,http://www.miami.edu/</t>
  </si>
  <si>
    <t>US,University of Michigan - Ann Arbor,http://www.umich.edu/</t>
  </si>
  <si>
    <t>US,University of Michigan - Dearborn,http://www.umd.umich.edu/</t>
  </si>
  <si>
    <t>US,University of Michigan - Flint,http://www.flint.umich.edu/</t>
  </si>
  <si>
    <t>US,University of Minnesota - Crookston,http://www.crk.umn.edu/</t>
  </si>
  <si>
    <t>US,University of Minnesota - Duluth,http://www.d.umn.edu/</t>
  </si>
  <si>
    <t>US,University of Minnesota - Morris,http://www.mrs.umn.edu/</t>
  </si>
  <si>
    <t>US,University of Minnesota - Twin Cities Campus,http://www1.umn.edu/twincities/</t>
  </si>
  <si>
    <t>US,University of Mississippi,http://www.olemiss.edu/</t>
  </si>
  <si>
    <t>US,University of Mississippi Medical Center,http://www.umc.edu/</t>
  </si>
  <si>
    <t>US,University of Missouri - Columbia,http://www.missouri.edu/</t>
  </si>
  <si>
    <t>US,University of Missouri - Kansas City,http://www.umkc.edu/</t>
  </si>
  <si>
    <t>US,University of Missouri - Saint Louis,http://www.umsl.edu/</t>
  </si>
  <si>
    <t>US,University of Mobile,http://www.umobile.edu/</t>
  </si>
  <si>
    <t>US,University of Montana,http://www.umt.edu/</t>
  </si>
  <si>
    <t>US,University of Montana Western,http://www.umwestern.edu/</t>
  </si>
  <si>
    <t>US,University of Montevallo,http://www.montevallo.edu/</t>
  </si>
  <si>
    <t>US,University of Nebraska - Kearney,http://www.unk.edu/</t>
  </si>
  <si>
    <t>US,University of Nebraska - Lincoln,http://www.unl.edu/</t>
  </si>
  <si>
    <t>US,University of Nebraska Medical Center,http://www.unmc.edu/</t>
  </si>
  <si>
    <t>US,University of Nebraska - Omaha,http://www.unomaha.edu/</t>
  </si>
  <si>
    <t>US,University of Nebraska (System),http://www.nebraska.edu/</t>
  </si>
  <si>
    <t>US,University of Nevada - Las Vegas,http://www.unlv.edu/</t>
  </si>
  <si>
    <t>US,University of Nevada - Reno,http://www.unr.edu/</t>
  </si>
  <si>
    <t>US,University of New England,http://www.une.edu/</t>
  </si>
  <si>
    <t>US,"University of New England, Westbrook College Campus",http://www.une.edu/wcdirctn.html</t>
  </si>
  <si>
    <t>US,University of New Hampshire,http://www.unh.edu/</t>
  </si>
  <si>
    <t>US,University of New Hampshire - Manchester,http://www.unh.edu/unhm/</t>
  </si>
  <si>
    <t>US,University of New Haven,http://www.newhaven.edu/</t>
  </si>
  <si>
    <t>US,University of New Mexico,http://www.unm.edu/</t>
  </si>
  <si>
    <t>US,University of New Orleans,http://www.uno.edu/</t>
  </si>
  <si>
    <t>US,University of North Alabama,http://www.una.edu/</t>
  </si>
  <si>
    <t>US,University of North America,http://www.universityofnorthamerica.org/</t>
  </si>
  <si>
    <t>US,University of North Carolina at Asheville,http://www.unca.edu/</t>
  </si>
  <si>
    <t>US,University of North Carolina at Chapel Hill,http://www.unc.edu/</t>
  </si>
  <si>
    <t>US,University of North Carolina at Charlotte,http://www.uncc.edu/</t>
  </si>
  <si>
    <t>US,University of North Carolina at Greensboro,http://www.uncg.edu/</t>
  </si>
  <si>
    <t>US,University of North Carolina at Pembroke,http://www.uncp.edu/</t>
  </si>
  <si>
    <t>US,University of North Carolina at Wilmington,http://www.uncwil.edu/</t>
  </si>
  <si>
    <t>US,University of North Dakota,http://www.und.nodak.edu/</t>
  </si>
  <si>
    <t>US,University of Northern Colorado,http://www.univnorthco.edu/</t>
  </si>
  <si>
    <t>US,University of Northern Iowa,http://www.uni.edu/</t>
  </si>
  <si>
    <t>US,University of Northern Virginia,http://www.unva.edu/</t>
  </si>
  <si>
    <t>US,University of Northern Washington,http://www.unw.edu/</t>
  </si>
  <si>
    <t>US,University of North Florida,http://www.unf.edu/</t>
  </si>
  <si>
    <t>US,University of North Texas,http://www.unt.edu/</t>
  </si>
  <si>
    <t>US,University of North Texas Health Science Center at Fort Worth,http://www.hsc.unt.edu/</t>
  </si>
  <si>
    <t>US,University of NorthWest,http://www.unw.ac/</t>
  </si>
  <si>
    <t>US,University of Notre Dame,http://www.nd.edu/</t>
  </si>
  <si>
    <t>US,University of Oklahoma,http://www.ou.edu/</t>
  </si>
  <si>
    <t>US,University of Oklahoma Health Sciences Center,http://www.ouhsc.edu/</t>
  </si>
  <si>
    <t>US,University of Oregon,http://www.uoregon.edu/</t>
  </si>
  <si>
    <t>US,University of Osteopathic Medicine and Health Science,http://www.uomhs.edu/</t>
  </si>
  <si>
    <t>US,University of Pennsylvania,http://www.upenn.edu/</t>
  </si>
  <si>
    <t>US,University of Phoenix,http://www.phoenix.edu/</t>
  </si>
  <si>
    <t>US,University of Pittsburgh,http://www.pitt.edu/</t>
  </si>
  <si>
    <t>US,University of Pittsburgh at Bradford,http://www.upb.pitt.edu/</t>
  </si>
  <si>
    <t>US,University of Pittsburgh at Greensburg,http://www.pitt.edu/~upg/</t>
  </si>
  <si>
    <t>US,University of Pittsburgh at Johnstown,http://www.pitt.edu/~upjweb/</t>
  </si>
  <si>
    <t>US,University of Portland,http://www.uofport.edu/</t>
  </si>
  <si>
    <t>US,University of Puget Sound,http://www.ups.edu/</t>
  </si>
  <si>
    <t>US,University of Redlands,http://www.redlands.edu/</t>
  </si>
  <si>
    <t>US,University of Rhode Island,http://www.uri.edu/</t>
  </si>
  <si>
    <t>US,University of Richmond,http://www.urich.edu/</t>
  </si>
  <si>
    <t>US,University of Rio Grande,http://www.urgrgcc.edu/</t>
  </si>
  <si>
    <t>US,University of Rochester,http://www.rochester.edu/</t>
  </si>
  <si>
    <t>US,University of San Diego,http://www.sandiego.edu/</t>
  </si>
  <si>
    <t>US,University of San Francisco,http://www.usfca.edu/</t>
  </si>
  <si>
    <t>US,University of Science and Arts of Oklahoma,http://www.usao.edu/</t>
  </si>
  <si>
    <t>US,University of Scranton,http://www.uofs.edu/</t>
  </si>
  <si>
    <t>US,University of Sioux Falls,http://www.thecoo.edu/</t>
  </si>
  <si>
    <t>US,University of South Alabama,http://www.usouthal.edu/</t>
  </si>
  <si>
    <t>US,University of South Carolina,http://www.sc.edu/</t>
  </si>
  <si>
    <t>US,University of South Carolina - Aiken,http://www.usca.sc.edu/</t>
  </si>
  <si>
    <t>US,University of South Carolina - Beaufort,http://www.sc.edu/beaufort/</t>
  </si>
  <si>
    <t>US,University of South Carolina - Lancaster,http://www.sc.edu/lancaster/</t>
  </si>
  <si>
    <t>US,University of South Carolina - Salkehatchie,http://www.rcce.sc.edu/salkehatchie/</t>
  </si>
  <si>
    <t>US,University of South Carolina - Spartanburg,http://www.uscs.edu/</t>
  </si>
  <si>
    <t>US,University of South Carolina - Sumter,http://www.uscsumter.edu/</t>
  </si>
  <si>
    <t>US,University of South Carolina - Union,http://www.sc.edu/union/</t>
  </si>
  <si>
    <t>US,University of South Dakota,http://www.usd.edu/</t>
  </si>
  <si>
    <t>US,University of Southern California,http://www.usc.edu/</t>
  </si>
  <si>
    <t>US,University of Southern Indiana,http://www.usi.edu/</t>
  </si>
  <si>
    <t>US,University of Southern Maine,http://www.usm.maine.edu/</t>
  </si>
  <si>
    <t>US,University of Southern Mississippi,http://www.usm.edu/</t>
  </si>
  <si>
    <t>US,University of South Florida,http://www.usf.edu/</t>
  </si>
  <si>
    <t>US,University of St. Francis,http://www.stfrancis.edu/</t>
  </si>
  <si>
    <t>US,"University of St. Thomas, Houston",http://www.stthom.edu/</t>
  </si>
  <si>
    <t>US,"University of St. Thomas, St. Paul",http://www.stthomas.edu/</t>
  </si>
  <si>
    <t>US,University of Tampa,http://www.utampa.edu/</t>
  </si>
  <si>
    <t>US,University of Tennessee - Chattanooga,http://www.utc.edu/</t>
  </si>
  <si>
    <t>US,University of Tennessee - Knoxville,http://www.utk.edu/</t>
  </si>
  <si>
    <t>US,University of Tennessee - Martin,http://www.utm.edu/</t>
  </si>
  <si>
    <t>US,University of Tennessee - Memphis,http://www.utmem.edu/</t>
  </si>
  <si>
    <t>US,University of Tennessee Space Institute,http://www.utsi.edu/</t>
  </si>
  <si>
    <t>US,University of Texas,http://www.utsystem.edu/</t>
  </si>
  <si>
    <t>US,University of Texas at Arlington,http://www.uta.edu/</t>
  </si>
  <si>
    <t>US,University of Texas at Austin,http://www.utexas.edu/</t>
  </si>
  <si>
    <t>US,University of Texas at Brownsville,http://www.utb.edu/</t>
  </si>
  <si>
    <t>US,University of Texas at Dallas,http://www.utdallas.edu/</t>
  </si>
  <si>
    <t>US,University of Texas at El Paso,http://www.utep.edu/</t>
  </si>
  <si>
    <t>US,University of Texas at San Antonio,http://www.utsa.edu/</t>
  </si>
  <si>
    <t>US,University of Texas at Tyler,http://www.uttyl.edu/</t>
  </si>
  <si>
    <t>US,University of Texas Health Center at Houston,http://www.uthouston.edu/</t>
  </si>
  <si>
    <t>US,University of Texas Health Center at Tyler,http://www.uthct.edu/</t>
  </si>
  <si>
    <t>US,University of Texas Health Science Center at San Antonio,http://www.uthscsa.edu/</t>
  </si>
  <si>
    <t>US,University of Texas M.D. Anderson Cancer Center,http://www.mdanderson.org/</t>
  </si>
  <si>
    <t>US,University of Texas Medical Branch Galveston,http://www.utmb.edu/</t>
  </si>
  <si>
    <t>US,University of Texas of the Permian Basin,http://www.utpb.edu/</t>
  </si>
  <si>
    <t>US,University of Texas Pan American,http://www.panam.edu/</t>
  </si>
  <si>
    <t>US,University of Texas Southwestern Medical Center at Dallas,http://www.utsouthwestern.edu/</t>
  </si>
  <si>
    <t>US,University of the Arts,http://www.uarts.edu/</t>
  </si>
  <si>
    <t>US,University of the District of Columbia,http://www.udc.edu/</t>
  </si>
  <si>
    <t>US,University of the Incarnate World,http://www.uiw.edu/</t>
  </si>
  <si>
    <t>US,University of the Ozarks,http://www.ozarks.edu/</t>
  </si>
  <si>
    <t>US,University of the Pacific,http://www.pacific.edu/</t>
  </si>
  <si>
    <t>US,University of the Sciences in Philadelphia,http://www.usip.edu/</t>
  </si>
  <si>
    <t>US,University of the South,http://www.sewanee.edu/</t>
  </si>
  <si>
    <t>US,University of the Southwest,http://www.usw.edu/</t>
  </si>
  <si>
    <t>US,University of Toledo,http://www.utoledo.edu/</t>
  </si>
  <si>
    <t>US,University of Tulsa,http://www.utulsa.edu/</t>
  </si>
  <si>
    <t>US,University of Utah,http://www.utah.edu/</t>
  </si>
  <si>
    <t>US,University of Vermont,http://www.uvm.edu/</t>
  </si>
  <si>
    <t>US,University of Virginia,http://www.virginia.edu/</t>
  </si>
  <si>
    <t>US,"University of Virginia, College at Wise",http://www.wise.virginia.edu/</t>
  </si>
  <si>
    <t>US,University of Washington,http://www.washington.edu/</t>
  </si>
  <si>
    <t>US,"University of Washington, Tacoma",http://www.tacoma.washington.edu/</t>
  </si>
  <si>
    <t>US,University of West Alabama,http://www.uwa.edu/</t>
  </si>
  <si>
    <t>US,University of West Florida,http://www.uwf.edu/</t>
  </si>
  <si>
    <t>US,University of West Los Angeles,http://www.uwla.edu/</t>
  </si>
  <si>
    <t>US,University of Wisconsin - Eau Claire,http://www.uwec.edu/</t>
  </si>
  <si>
    <t>US,University of Wisconsin - Green Bay,http://www.uwgb.edu/</t>
  </si>
  <si>
    <t>US,University of Wisconsin - La Crosse,http://www.uwlax.edu/</t>
  </si>
  <si>
    <t>US,University of Wisconsin - Madison,http://www.wisc.edu/</t>
  </si>
  <si>
    <t>US,University of Wisconsin - Milwaukee,http://www.uwm.edu/</t>
  </si>
  <si>
    <t>US,University of Wisconsin - Oshkosh,http://www.uwosh.edu/</t>
  </si>
  <si>
    <t>US,University of Wisconsin - Parkside,http://www.uwp.edu/</t>
  </si>
  <si>
    <t>US,University of Wisconsin - Platteville,http://www.uwplatt.edu/</t>
  </si>
  <si>
    <t>US,University of Wisconsin - River Falls,http://www.uwrf.edu/</t>
  </si>
  <si>
    <t>US,University of Wisconsin - Stevens Point,http://www.uwsp.edu/</t>
  </si>
  <si>
    <t>US,University of Wisconsin - Stout,http://www.uwstout.edu/</t>
  </si>
  <si>
    <t>US,University of Wisconsin - Superior,http://www.uwsuper.edu/</t>
  </si>
  <si>
    <t>US,University of Wisconsin - Whitewater,http://www.uww.edu/</t>
  </si>
  <si>
    <t>US,University of Wyoming,http://www.uwyo.edu/</t>
  </si>
  <si>
    <t>US,Upper Iowa University,http://www.uiu.edu/</t>
  </si>
  <si>
    <t>US,Urbana University,http://www.urbana.edu/</t>
  </si>
  <si>
    <t>US,Ursinus College,http://www.ursinus.edu/</t>
  </si>
  <si>
    <t>US,Ursuline College,http://www.ursuline.edu/</t>
  </si>
  <si>
    <t>US,Utah State University,http://www.usu.edu/</t>
  </si>
  <si>
    <t>US,Utah Valley State College,http://www.uvsc.edu/</t>
  </si>
  <si>
    <t>US,Utica College,http://www.ucsu.edu/</t>
  </si>
  <si>
    <t>US,Valdosta State University,http://www.valdosta.edu/</t>
  </si>
  <si>
    <t>US,Valley City State University,http://www.vcsu.nodak.edu/</t>
  </si>
  <si>
    <t>US,Valley Forge Christian College,http://www.vfcc.edu/</t>
  </si>
  <si>
    <t>US,Valparaiso University,http://www.valpo.edu/</t>
  </si>
  <si>
    <t>US,Vanderbilt University,http://www.vanderbilt.edu/</t>
  </si>
  <si>
    <t>US,VanderCook College of Music,http://www.vandercook.edu/</t>
  </si>
  <si>
    <t>US,Vanguard University of Southern California,http://www.vanguard.edu/</t>
  </si>
  <si>
    <t>US,Vassar College,http://www.vassar.edu/</t>
  </si>
  <si>
    <t>US,Vennard College,http://www.vennard.edu/</t>
  </si>
  <si>
    <t>US,Vermont Law School,http://www.vermontlaw.edu/</t>
  </si>
  <si>
    <t>US,Vermont Technical College,http://www.vtc.vsc.edu/</t>
  </si>
  <si>
    <t>US,Villa Julie College,http://www.vjc.edu/</t>
  </si>
  <si>
    <t>US,Villanova University,http://www.villanova.edu/</t>
  </si>
  <si>
    <t>US,Virginia College,http://www.vc.edu/</t>
  </si>
  <si>
    <t>US,Virginia Commonwealth University,http://www.vcu.edu/</t>
  </si>
  <si>
    <t>US,Virginia Intermont College,http://www.vic.edu/</t>
  </si>
  <si>
    <t>US,Virginia International University,http://www.viu.edu/</t>
  </si>
  <si>
    <t>US,Virginia Military Institute,http://www.vmi.edu/</t>
  </si>
  <si>
    <t>US,Virginia Polytechnic Institute and State University (Virginia Tech),http://www.vt.edu/</t>
  </si>
  <si>
    <t>US,Virginia State University,http://www.vsu.edu/</t>
  </si>
  <si>
    <t>US,Virginia Union University,http://www.vuu.edu/</t>
  </si>
  <si>
    <t>US,Virginia Wesleyan College,http://www.vwc.edu/</t>
  </si>
  <si>
    <t>US,Viterbo College,http://www.viterbo.edu/</t>
  </si>
  <si>
    <t>US,Voorhees College,http://www.voorhees.edu/</t>
  </si>
  <si>
    <t>US,Wabash College,http://www.wabash.edu/</t>
  </si>
  <si>
    <t>US,Wagner College,http://www.wagner.edu/</t>
  </si>
  <si>
    <t>US,Wake Forest University,http://www.wfu.edu/</t>
  </si>
  <si>
    <t>US,Walden University,http://www.waldenu.edu/</t>
  </si>
  <si>
    <t>US,Walla Walla College,http://www.wwc.edu/</t>
  </si>
  <si>
    <t>US,Walsh College of Accountancy and Business Administration,http://www.walshcol.edu/</t>
  </si>
  <si>
    <t>US,Walsh University,http://www.walsh.edu/</t>
  </si>
  <si>
    <t>US,Warner Pacific College,http://www.warnerpacific.edu/</t>
  </si>
  <si>
    <t>US,Warner Southern College,http://www.warner.edu/</t>
  </si>
  <si>
    <t>US,Warren Wilson College,http://www.warren-wilson.edu/</t>
  </si>
  <si>
    <t>US,Wartburg College,http://www.wartburg.edu/</t>
  </si>
  <si>
    <t>US,Washburn University,http://www.washburn.edu/</t>
  </si>
  <si>
    <t>US,Washington and Lee University,http://www.wlu.edu/</t>
  </si>
  <si>
    <t>US,Washington Bible College,http://www.bible.edu/</t>
  </si>
  <si>
    <t>US,Washington College,http://www.washcoll.edu/</t>
  </si>
  <si>
    <t>US,Washington State University,http://www.wsu.edu/</t>
  </si>
  <si>
    <t>US,"Washington State University, Spokane",http://www.spokane.wsu.edu/</t>
  </si>
  <si>
    <t>US,"Washington State University, Tri-Cities",http://www.tricity.wsu.edu/</t>
  </si>
  <si>
    <t>US,"Washington State University, Vancouver",http://www.vancouver.wsu.edu/</t>
  </si>
  <si>
    <t>US,Washington University in St. Louis,http://www.wustl.edu/</t>
  </si>
  <si>
    <t>US,Wayland Baptist University,http://www.wbu.edu/</t>
  </si>
  <si>
    <t>US,Waynesburg College,http://www.waynesburg.edu/</t>
  </si>
  <si>
    <t>US,Wayne State College,http://www.wsc.edu/</t>
  </si>
  <si>
    <t>US,Wayne State University,http://www.wayne.edu/</t>
  </si>
  <si>
    <t>US,Webber College,http://www.webber.edu/</t>
  </si>
  <si>
    <t>US,Webb Institute,http://www.webb-institute.edu/</t>
  </si>
  <si>
    <t>US,Weber State University,http://www.weber.edu/</t>
  </si>
  <si>
    <t>US,Webster University,http://www.webster.edu/</t>
  </si>
  <si>
    <t>US,Webster University North Florida,http://www.webster.edu/jack/</t>
  </si>
  <si>
    <t>US,Weill Medical College of Cornell University,http://www.med.cornell.edu/</t>
  </si>
  <si>
    <t>US,Wellesley College,http://www.wellesley.edu/</t>
  </si>
  <si>
    <t>US,Wells College,http://www.wells.edu/</t>
  </si>
  <si>
    <t>US,Wentworth Institute of Technology,http://www.wit.edu/</t>
  </si>
  <si>
    <t>US,Wesleyan College,http://www.wesleyan-college.edu/</t>
  </si>
  <si>
    <t>US,Wesleyan University,http://www.wesleyan.edu/</t>
  </si>
  <si>
    <t>US,Wesley College,http://www.wesley.edu/</t>
  </si>
  <si>
    <t>US,Wesley College Mississippi,http://www.wesleycollege.com/</t>
  </si>
  <si>
    <t>US,Westbrook University ,http://www.westbrooku.edu/</t>
  </si>
  <si>
    <t>US,West Chester University of Pennsylvania,http://www.wcupa.edu/</t>
  </si>
  <si>
    <t>US,West Coast University,http://www.westcoastuniversity.com/</t>
  </si>
  <si>
    <t>US,Western Baptist College,http://www.wbc.edu/</t>
  </si>
  <si>
    <t>US,Western Bible College,http://www.westernbible.edu/</t>
  </si>
  <si>
    <t>US,Western Carolina University,http://www.wcu.edu/</t>
  </si>
  <si>
    <t>US,Western Connecticut State University,http://www.wcsu.ctstateu.edu/</t>
  </si>
  <si>
    <t>US,Western Governors University,http://www.wgu.edu/</t>
  </si>
  <si>
    <t>US,Western Illinois University,http://www.wiu.edu/</t>
  </si>
  <si>
    <t>US,Western International University,http://www.west.edu/</t>
  </si>
  <si>
    <t>US,Western Kentucky University,http://www.wku.edu/</t>
  </si>
  <si>
    <t>US,Western Maryland College,http://www.wmdc.edu/</t>
  </si>
  <si>
    <t>US,Western Michigan University,http://www.wmich.edu/</t>
  </si>
  <si>
    <t>US,Western New England College,http://www.wnec.edu/</t>
  </si>
  <si>
    <t>US,Western New Mexico University,http://www.wnmu.edu/</t>
  </si>
  <si>
    <t>US,Western Oregon University,http://www.wou.edu/</t>
  </si>
  <si>
    <t>US,Western State College,http://www.western.edu/</t>
  </si>
  <si>
    <t>US,Western States Chiropractic College,http://www.wschiro.edu/</t>
  </si>
  <si>
    <t>US,Western State University College of Law,http://www.wsulaw.edu/</t>
  </si>
  <si>
    <t>US,Western State University College of Law - Orange County,http://www.wsulaw.edu/</t>
  </si>
  <si>
    <t>US,Western Washington University,http://www.wwu.edu/</t>
  </si>
  <si>
    <t>US,Westfield State College,http://www.wsc.mass.edu/</t>
  </si>
  <si>
    <t>US,West Liberty State College,http://www.wlsc.wvnet.edu/</t>
  </si>
  <si>
    <t>US,Westminster College Fulton,http://www.wcmo.edu/</t>
  </si>
  <si>
    <t>US,Westminster College New Wilmington,http://www.westminster.edu/</t>
  </si>
  <si>
    <t>US,Westminster College of Salt Lake City,http://www.wcslc.edu/</t>
  </si>
  <si>
    <t>US,Westmont College,http://www.westmont.edu/</t>
  </si>
  <si>
    <t>US,West Suburban College of Nursing,http://www.curf.edu/~wscasseyp/wscn.htm</t>
  </si>
  <si>
    <t>US,West Texas A&amp;M University,http://www.wtamu.edu/</t>
  </si>
  <si>
    <t>US,West Virginia School of Osteopathic Medicine,http://www.wvsom.edu/</t>
  </si>
  <si>
    <t>US,West Virginia State College,http://www.wvsc.edu/</t>
  </si>
  <si>
    <t>US,West Virginia University,http://www.wvu.edu/</t>
  </si>
  <si>
    <t>US,West Virginia University Institute of Technology,http://wvit.wvnet.edu/</t>
  </si>
  <si>
    <t>US,West Virginia Wesleyan College,http://www.wvwc.edu/</t>
  </si>
  <si>
    <t>US,Westwood College,http://www.westwood.edu/</t>
  </si>
  <si>
    <t>US,Wheaton College Massachusetts,http://www.wheatonma.edu/</t>
  </si>
  <si>
    <t>US,Wheeling Jesuit University,http://www.wju.edu/</t>
  </si>
  <si>
    <t>US,Wheelock College,http://www.wheelock.edu/</t>
  </si>
  <si>
    <t>US,Whitman College,http://www.whitman.edu/</t>
  </si>
  <si>
    <t>US,Whittier College,http://www.whittier.edu/</t>
  </si>
  <si>
    <t>US,Whitworth College,http://www.whitworth.edu/</t>
  </si>
  <si>
    <t>US,Wichita State University,http://www.twsu.edu/</t>
  </si>
  <si>
    <t>US,Widener University,http://www.widener.edu/</t>
  </si>
  <si>
    <t>US,Wilberforce University,http://www.wilberforce.edu/</t>
  </si>
  <si>
    <t>US,Wilbur Wright College,http://www.ccc.edu/wright/</t>
  </si>
  <si>
    <t>US,Wiley College,http://www.wileyc.edu/</t>
  </si>
  <si>
    <t>US,Wilkes University,http://www.wilkes.edu/</t>
  </si>
  <si>
    <t>US,Willamette University,http://www.willamette.edu/</t>
  </si>
  <si>
    <t>US,William Carey College,http://www.wmcarey.edu/</t>
  </si>
  <si>
    <t>US,William Jewell College,http://www.jewell.edu/</t>
  </si>
  <si>
    <t>US,William Mitchell College of Law,http://www.wmitchell.edu/</t>
  </si>
  <si>
    <t>US,William Paterson University,http://www.wpunj.edu/</t>
  </si>
  <si>
    <t>US,William Penn College,http://www.wmpenn.edu/</t>
  </si>
  <si>
    <t>US,Williams Baptist College,http://www.wbcoll.edu/</t>
  </si>
  <si>
    <t>US,Williams College,http://www.williams.edu/</t>
  </si>
  <si>
    <t>US,William Tyndale College,http://www.williamtyndale.edu/</t>
  </si>
  <si>
    <t>US,William Woods University,http://www.wmwoods.edu/</t>
  </si>
  <si>
    <t>US,Wilmington College,http://www.wilmcoll.edu/</t>
  </si>
  <si>
    <t>US,Wilmington College,http://www.wilmington.edu/</t>
  </si>
  <si>
    <t>US,Wilson College,http://www.wilson.edu/</t>
  </si>
  <si>
    <t>US,Wingate University,http://www.wingate.edu/</t>
  </si>
  <si>
    <t>US,Winona State University,http://www.winona.msus.edu/</t>
  </si>
  <si>
    <t>US,Winston-Salem State University,http://www.wssu.edu/</t>
  </si>
  <si>
    <t>US,Winthrop University,http://www.winthrop.edu/</t>
  </si>
  <si>
    <t>US,Wisconsin Lutheran College,http://www.wlc.edu/</t>
  </si>
  <si>
    <t>US,Wisconsin School of Professional Psychology,http://www.execpc.com/~wspp/</t>
  </si>
  <si>
    <t>US,Wittenberg University,http://www.wittenberg.edu/</t>
  </si>
  <si>
    <t>US,Wofford College,http://www.wofford.edu/</t>
  </si>
  <si>
    <t>US,Woodbury University,http://www.woodburyu.edu/</t>
  </si>
  <si>
    <t>US,Worcester Polytechnic Institute,http://www.wpi.edu/</t>
  </si>
  <si>
    <t>US,Worcester State College,http://www.worc.mass.edu/</t>
  </si>
  <si>
    <t>US,Wright Institute,http://www.wrightinst.edu/</t>
  </si>
  <si>
    <t>US,Wright State University,http://www.wright.edu/</t>
  </si>
  <si>
    <t>US,Xavier University,http://www.xu.edu/</t>
  </si>
  <si>
    <t>US,Xavier University of Louisiana,http://www.xula.edu/</t>
  </si>
  <si>
    <t>US,Yale University,http://www.yale.edu/</t>
  </si>
  <si>
    <t>US,Yeshiva University,http://www.yu.edu/</t>
  </si>
  <si>
    <t>US,York College Nebraska,http://www.york.edu/</t>
  </si>
  <si>
    <t>US,York College of Pennsylvania,http://www.yorkcol.edu/</t>
  </si>
  <si>
    <t>US,Yorker International University,http://www.nyuniversity.net/</t>
  </si>
  <si>
    <t>US,York University,http://www.yorkuniversity.us/</t>
  </si>
  <si>
    <t>US,Youngstown State University,http://www.ysu.edu/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</si>
</sst>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aint-lukes.org/about/slc/" TargetMode="External"/><Relationship Id="rId1827" Type="http://schemas.openxmlformats.org/officeDocument/2006/relationships/hyperlink" Target="http://www.nd.edu/" TargetMode="External"/><Relationship Id="rId21" Type="http://schemas.openxmlformats.org/officeDocument/2006/relationships/hyperlink" Target="http://www.alfred.edu/" TargetMode="External"/><Relationship Id="rId170" Type="http://schemas.openxmlformats.org/officeDocument/2006/relationships/hyperlink" Target="http://www.bethune.cookman.edu/" TargetMode="External"/><Relationship Id="rId268" Type="http://schemas.openxmlformats.org/officeDocument/2006/relationships/hyperlink" Target="http://www.law.capital.edu/" TargetMode="External"/><Relationship Id="rId475" Type="http://schemas.openxmlformats.org/officeDocument/2006/relationships/hyperlink" Target="http://www.dillard.edu/" TargetMode="External"/><Relationship Id="rId682" Type="http://schemas.openxmlformats.org/officeDocument/2006/relationships/hyperlink" Target="http://www.heritage.edu/" TargetMode="External"/><Relationship Id="rId128" Type="http://schemas.openxmlformats.org/officeDocument/2006/relationships/hyperlink" Target="http://www.b-sc.edu/" TargetMode="External"/><Relationship Id="rId335" Type="http://schemas.openxmlformats.org/officeDocument/2006/relationships/hyperlink" Target="http://www.clarion.edu/" TargetMode="External"/><Relationship Id="rId542" Type="http://schemas.openxmlformats.org/officeDocument/2006/relationships/hyperlink" Target="http://www.fdu.edu/visitorcenter/fmwelcome.html" TargetMode="External"/><Relationship Id="rId987" Type="http://schemas.openxmlformats.org/officeDocument/2006/relationships/hyperlink" Target="http://www.millersv.edu/" TargetMode="External"/><Relationship Id="rId1172" Type="http://schemas.openxmlformats.org/officeDocument/2006/relationships/hyperlink" Target="http://www.ohiou.edu/southern/" TargetMode="External"/><Relationship Id="rId2016" Type="http://schemas.openxmlformats.org/officeDocument/2006/relationships/hyperlink" Target="http://www.wcslc.edu/" TargetMode="External"/><Relationship Id="rId402" Type="http://schemas.openxmlformats.org/officeDocument/2006/relationships/hyperlink" Target="http://www.colstate.edu/" TargetMode="External"/><Relationship Id="rId847" Type="http://schemas.openxmlformats.org/officeDocument/2006/relationships/hyperlink" Target="http://www.lclark.edu/" TargetMode="External"/><Relationship Id="rId1032" Type="http://schemas.openxmlformats.org/officeDocument/2006/relationships/hyperlink" Target="http://www.mountainstate.edu/" TargetMode="External"/><Relationship Id="rId1477" Type="http://schemas.openxmlformats.org/officeDocument/2006/relationships/hyperlink" Target="http://www.alfredtech.edu/" TargetMode="External"/><Relationship Id="rId1684" Type="http://schemas.openxmlformats.org/officeDocument/2006/relationships/hyperlink" Target="http://www.uams.edu/" TargetMode="External"/><Relationship Id="rId1891" Type="http://schemas.openxmlformats.org/officeDocument/2006/relationships/hyperlink" Target="http://www.udc.edu/" TargetMode="External"/><Relationship Id="rId707" Type="http://schemas.openxmlformats.org/officeDocument/2006/relationships/hyperlink" Target="http://www.huron.edu/" TargetMode="External"/><Relationship Id="rId914" Type="http://schemas.openxmlformats.org/officeDocument/2006/relationships/hyperlink" Target="http://www.marist.edu/" TargetMode="External"/><Relationship Id="rId1337" Type="http://schemas.openxmlformats.org/officeDocument/2006/relationships/hyperlink" Target="http://www.salem.edu/" TargetMode="External"/><Relationship Id="rId1544" Type="http://schemas.openxmlformats.org/officeDocument/2006/relationships/hyperlink" Target="http://www.suffolk.edu/" TargetMode="External"/><Relationship Id="rId1751" Type="http://schemas.openxmlformats.org/officeDocument/2006/relationships/hyperlink" Target="http://www.louisiana.edu/" TargetMode="External"/><Relationship Id="rId1989" Type="http://schemas.openxmlformats.org/officeDocument/2006/relationships/hyperlink" Target="http://www.wesley.edu/" TargetMode="External"/><Relationship Id="rId43" Type="http://schemas.openxmlformats.org/officeDocument/2006/relationships/hyperlink" Target="http://www.amunet.edu/" TargetMode="External"/><Relationship Id="rId1404" Type="http://schemas.openxmlformats.org/officeDocument/2006/relationships/hyperlink" Target="http://www.southeastern.edu/" TargetMode="External"/><Relationship Id="rId1611" Type="http://schemas.openxmlformats.org/officeDocument/2006/relationships/hyperlink" Target="http://www.tulane.edu/" TargetMode="External"/><Relationship Id="rId1849" Type="http://schemas.openxmlformats.org/officeDocument/2006/relationships/hyperlink" Target="http://www.thecoo.edu/" TargetMode="External"/><Relationship Id="rId192" Type="http://schemas.openxmlformats.org/officeDocument/2006/relationships/hyperlink" Target="http://www.bgsu.edu/" TargetMode="External"/><Relationship Id="rId1709" Type="http://schemas.openxmlformats.org/officeDocument/2006/relationships/hyperlink" Target="http://www.uc.edu/" TargetMode="External"/><Relationship Id="rId1916" Type="http://schemas.openxmlformats.org/officeDocument/2006/relationships/hyperlink" Target="http://www.uwplatt.edu/" TargetMode="External"/><Relationship Id="rId497" Type="http://schemas.openxmlformats.org/officeDocument/2006/relationships/hyperlink" Target="http://www.ecok.edu/" TargetMode="External"/><Relationship Id="rId357" Type="http://schemas.openxmlformats.org/officeDocument/2006/relationships/hyperlink" Target="http://www.colgate.edu/" TargetMode="External"/><Relationship Id="rId1194" Type="http://schemas.openxmlformats.org/officeDocument/2006/relationships/hyperlink" Target="http://www.oit.edu/" TargetMode="External"/><Relationship Id="rId2038" Type="http://schemas.openxmlformats.org/officeDocument/2006/relationships/hyperlink" Target="http://www.willamette.edu/" TargetMode="External"/><Relationship Id="rId217" Type="http://schemas.openxmlformats.org/officeDocument/2006/relationships/hyperlink" Target="http://www.bucknell.edu/" TargetMode="External"/><Relationship Id="rId564" Type="http://schemas.openxmlformats.org/officeDocument/2006/relationships/hyperlink" Target="http://www.fiu.edu/" TargetMode="External"/><Relationship Id="rId771" Type="http://schemas.openxmlformats.org/officeDocument/2006/relationships/hyperlink" Target="http://www.jcsu.edu/" TargetMode="External"/><Relationship Id="rId869" Type="http://schemas.openxmlformats.org/officeDocument/2006/relationships/hyperlink" Target="http://www.southampton.liunet.edu/" TargetMode="External"/><Relationship Id="rId1499" Type="http://schemas.openxmlformats.org/officeDocument/2006/relationships/hyperlink" Target="http://www.stfranciscollege.edu/" TargetMode="External"/><Relationship Id="rId424" Type="http://schemas.openxmlformats.org/officeDocument/2006/relationships/hyperlink" Target="http://www.cosmoedu.net/" TargetMode="External"/><Relationship Id="rId631" Type="http://schemas.openxmlformats.org/officeDocument/2006/relationships/hyperlink" Target="http://www.goshen.edu/" TargetMode="External"/><Relationship Id="rId729" Type="http://schemas.openxmlformats.org/officeDocument/2006/relationships/hyperlink" Target="http://www.iusb.edu/" TargetMode="External"/><Relationship Id="rId1054" Type="http://schemas.openxmlformats.org/officeDocument/2006/relationships/hyperlink" Target="http://www.naes.indian.com/" TargetMode="External"/><Relationship Id="rId1261" Type="http://schemas.openxmlformats.org/officeDocument/2006/relationships/hyperlink" Target="http://www.pdx.edu/" TargetMode="External"/><Relationship Id="rId1359" Type="http://schemas.openxmlformats.org/officeDocument/2006/relationships/hyperlink" Target="http://www.saybrook.org/" TargetMode="External"/><Relationship Id="rId936" Type="http://schemas.openxmlformats.org/officeDocument/2006/relationships/hyperlink" Target="http://www.mit.edu/" TargetMode="External"/><Relationship Id="rId1121" Type="http://schemas.openxmlformats.org/officeDocument/2006/relationships/hyperlink" Target="http://www.nau.edu/" TargetMode="External"/><Relationship Id="rId1219" Type="http://schemas.openxmlformats.org/officeDocument/2006/relationships/hyperlink" Target="http://www.park.edu/" TargetMode="External"/><Relationship Id="rId1566" Type="http://schemas.openxmlformats.org/officeDocument/2006/relationships/hyperlink" Target="http://www.tamucc.edu/" TargetMode="External"/><Relationship Id="rId1773" Type="http://schemas.openxmlformats.org/officeDocument/2006/relationships/hyperlink" Target="http://www.umassd.edu/" TargetMode="External"/><Relationship Id="rId1980" Type="http://schemas.openxmlformats.org/officeDocument/2006/relationships/hyperlink" Target="http://www.weber.edu/" TargetMode="External"/><Relationship Id="rId65" Type="http://schemas.openxmlformats.org/officeDocument/2006/relationships/hyperlink" Target="http://www.argosy.edu/" TargetMode="External"/><Relationship Id="rId1426" Type="http://schemas.openxmlformats.org/officeDocument/2006/relationships/hyperlink" Target="http://www.svc.edu/" TargetMode="External"/><Relationship Id="rId1633" Type="http://schemas.openxmlformats.org/officeDocument/2006/relationships/hyperlink" Target="http://www.tbc2day.edu/" TargetMode="External"/><Relationship Id="rId1840" Type="http://schemas.openxmlformats.org/officeDocument/2006/relationships/hyperlink" Target="http://www.redlands.edu/" TargetMode="External"/><Relationship Id="rId1700" Type="http://schemas.openxmlformats.org/officeDocument/2006/relationships/hyperlink" Target="http://www.universityofcalifornia.edu/" TargetMode="External"/><Relationship Id="rId1938" Type="http://schemas.openxmlformats.org/officeDocument/2006/relationships/hyperlink" Target="http://www.vennard.edu/" TargetMode="External"/><Relationship Id="rId281" Type="http://schemas.openxmlformats.org/officeDocument/2006/relationships/hyperlink" Target="http://www.catawba.edu/" TargetMode="External"/><Relationship Id="rId141" Type="http://schemas.openxmlformats.org/officeDocument/2006/relationships/hyperlink" Target="http://www.baylor.edu/" TargetMode="External"/><Relationship Id="rId379" Type="http://schemas.openxmlformats.org/officeDocument/2006/relationships/hyperlink" Target="http://www.strose.edu/" TargetMode="External"/><Relationship Id="rId586" Type="http://schemas.openxmlformats.org/officeDocument/2006/relationships/hyperlink" Target="http://www.fpc.edu/" TargetMode="External"/><Relationship Id="rId793" Type="http://schemas.openxmlformats.org/officeDocument/2006/relationships/hyperlink" Target="http://www.kcad.edu/" TargetMode="External"/><Relationship Id="rId7" Type="http://schemas.openxmlformats.org/officeDocument/2006/relationships/hyperlink" Target="http://www.aamu.edu/" TargetMode="External"/><Relationship Id="rId239" Type="http://schemas.openxmlformats.org/officeDocument/2006/relationships/hyperlink" Target="http://www.csupomona.edu/" TargetMode="External"/><Relationship Id="rId446" Type="http://schemas.openxmlformats.org/officeDocument/2006/relationships/hyperlink" Target="http://www.davenport.edu/lansing/" TargetMode="External"/><Relationship Id="rId653" Type="http://schemas.openxmlformats.org/officeDocument/2006/relationships/hyperlink" Target="http://www.gmc.edu/" TargetMode="External"/><Relationship Id="rId1076" Type="http://schemas.openxmlformats.org/officeDocument/2006/relationships/hyperlink" Target="http://www.neumann.edu/" TargetMode="External"/><Relationship Id="rId1283" Type="http://schemas.openxmlformats.org/officeDocument/2006/relationships/hyperlink" Target="http://www.rmwc.edu/" TargetMode="External"/><Relationship Id="rId1490" Type="http://schemas.openxmlformats.org/officeDocument/2006/relationships/hyperlink" Target="http://www.sbu.edu/" TargetMode="External"/><Relationship Id="rId306" Type="http://schemas.openxmlformats.org/officeDocument/2006/relationships/hyperlink" Target="http://www.chc.edu/" TargetMode="External"/><Relationship Id="rId860" Type="http://schemas.openxmlformats.org/officeDocument/2006/relationships/hyperlink" Target="http://www.lindsey.edu/" TargetMode="External"/><Relationship Id="rId958" Type="http://schemas.openxmlformats.org/officeDocument/2006/relationships/hyperlink" Target="http://www.mercer.edu/cbd/" TargetMode="External"/><Relationship Id="rId1143" Type="http://schemas.openxmlformats.org/officeDocument/2006/relationships/hyperlink" Target="http://www.northwood.edu/" TargetMode="External"/><Relationship Id="rId1588" Type="http://schemas.openxmlformats.org/officeDocument/2006/relationships/hyperlink" Target="http://www.tcnj.edu/" TargetMode="External"/><Relationship Id="rId1795" Type="http://schemas.openxmlformats.org/officeDocument/2006/relationships/hyperlink" Target="http://www.montevallo.edu/" TargetMode="External"/><Relationship Id="rId87" Type="http://schemas.openxmlformats.org/officeDocument/2006/relationships/hyperlink" Target="http://www.ashland.edu/" TargetMode="External"/><Relationship Id="rId513" Type="http://schemas.openxmlformats.org/officeDocument/2006/relationships/hyperlink" Target="http://www.eastwest.edu/" TargetMode="External"/><Relationship Id="rId720" Type="http://schemas.openxmlformats.org/officeDocument/2006/relationships/hyperlink" Target="http://www.ilstu.edu/" TargetMode="External"/><Relationship Id="rId818" Type="http://schemas.openxmlformats.org/officeDocument/2006/relationships/hyperlink" Target="http://www.lakeerie.edu/" TargetMode="External"/><Relationship Id="rId1350" Type="http://schemas.openxmlformats.org/officeDocument/2006/relationships/hyperlink" Target="http://www.sfcm.edu/" TargetMode="External"/><Relationship Id="rId1448" Type="http://schemas.openxmlformats.org/officeDocument/2006/relationships/hyperlink" Target="http://www.spertus.edu/" TargetMode="External"/><Relationship Id="rId1655" Type="http://schemas.openxmlformats.org/officeDocument/2006/relationships/hyperlink" Target="http://www.usuhs.mil/" TargetMode="External"/><Relationship Id="rId1003" Type="http://schemas.openxmlformats.org/officeDocument/2006/relationships/hyperlink" Target="http://www.mobap.edu/" TargetMode="External"/><Relationship Id="rId1210" Type="http://schemas.openxmlformats.org/officeDocument/2006/relationships/hyperlink" Target="http://www.pacificoaks.edu/" TargetMode="External"/><Relationship Id="rId1308" Type="http://schemas.openxmlformats.org/officeDocument/2006/relationships/hyperlink" Target="http://www.roanokebible.edu/" TargetMode="External"/><Relationship Id="rId1862" Type="http://schemas.openxmlformats.org/officeDocument/2006/relationships/hyperlink" Target="http://www.usm.maine.edu/" TargetMode="External"/><Relationship Id="rId1515" Type="http://schemas.openxmlformats.org/officeDocument/2006/relationships/hyperlink" Target="http://www.sjcme.edu/" TargetMode="External"/><Relationship Id="rId1722" Type="http://schemas.openxmlformats.org/officeDocument/2006/relationships/hyperlink" Target="http://www.udel.edu/" TargetMode="External"/><Relationship Id="rId14" Type="http://schemas.openxmlformats.org/officeDocument/2006/relationships/hyperlink" Target="http://www.asurams.edu/" TargetMode="External"/><Relationship Id="rId163" Type="http://schemas.openxmlformats.org/officeDocument/2006/relationships/hyperlink" Target="http://www.bethanylb.edu/" TargetMode="External"/><Relationship Id="rId370" Type="http://schemas.openxmlformats.org/officeDocument/2006/relationships/hyperlink" Target="http://www.cnr.edu/" TargetMode="External"/><Relationship Id="rId2051" Type="http://schemas.openxmlformats.org/officeDocument/2006/relationships/hyperlink" Target="http://www.wingate.edu/" TargetMode="External"/><Relationship Id="rId230" Type="http://schemas.openxmlformats.org/officeDocument/2006/relationships/hyperlink" Target="http://www.caltech.edu/" TargetMode="External"/><Relationship Id="rId468" Type="http://schemas.openxmlformats.org/officeDocument/2006/relationships/hyperlink" Target="http://www.dpg.devry.edu/" TargetMode="External"/><Relationship Id="rId675" Type="http://schemas.openxmlformats.org/officeDocument/2006/relationships/hyperlink" Target="http://www.haverford.edu/" TargetMode="External"/><Relationship Id="rId882" Type="http://schemas.openxmlformats.org/officeDocument/2006/relationships/hyperlink" Target="http://www.loyola.edu/" TargetMode="External"/><Relationship Id="rId1098" Type="http://schemas.openxmlformats.org/officeDocument/2006/relationships/hyperlink" Target="http://www.nyfa.edu/" TargetMode="External"/><Relationship Id="rId328" Type="http://schemas.openxmlformats.org/officeDocument/2006/relationships/hyperlink" Target="http://www.qc.edu/" TargetMode="External"/><Relationship Id="rId535" Type="http://schemas.openxmlformats.org/officeDocument/2006/relationships/hyperlink" Target="http://www.ebc.edu/" TargetMode="External"/><Relationship Id="rId742" Type="http://schemas.openxmlformats.org/officeDocument/2006/relationships/hyperlink" Target="http://www.itp.edu/" TargetMode="External"/><Relationship Id="rId1165" Type="http://schemas.openxmlformats.org/officeDocument/2006/relationships/hyperlink" Target="http://www.mansfield.ohio-state.edu/" TargetMode="External"/><Relationship Id="rId1372" Type="http://schemas.openxmlformats.org/officeDocument/2006/relationships/hyperlink" Target="http://www.shawnee.edu/" TargetMode="External"/><Relationship Id="rId2009" Type="http://schemas.openxmlformats.org/officeDocument/2006/relationships/hyperlink" Target="http://www.wsulaw.edu/" TargetMode="External"/><Relationship Id="rId602" Type="http://schemas.openxmlformats.org/officeDocument/2006/relationships/hyperlink" Target="http://www.gannon.edu/" TargetMode="External"/><Relationship Id="rId1025" Type="http://schemas.openxmlformats.org/officeDocument/2006/relationships/hyperlink" Target="http://www.morehouse.edu/" TargetMode="External"/><Relationship Id="rId1232" Type="http://schemas.openxmlformats.org/officeDocument/2006/relationships/hyperlink" Target="http://www.bk.psu.edu/" TargetMode="External"/><Relationship Id="rId1677" Type="http://schemas.openxmlformats.org/officeDocument/2006/relationships/hyperlink" Target="http://www.uas.alaska.edu/" TargetMode="External"/><Relationship Id="rId1884" Type="http://schemas.openxmlformats.org/officeDocument/2006/relationships/hyperlink" Target="http://www.uthscsa.edu/" TargetMode="External"/><Relationship Id="rId907" Type="http://schemas.openxmlformats.org/officeDocument/2006/relationships/hyperlink" Target="http://www.mville.edu/" TargetMode="External"/><Relationship Id="rId1537" Type="http://schemas.openxmlformats.org/officeDocument/2006/relationships/hyperlink" Target="http://www.spcollege.edu/" TargetMode="External"/><Relationship Id="rId1744" Type="http://schemas.openxmlformats.org/officeDocument/2006/relationships/hyperlink" Target="http://www.uis.edu/" TargetMode="External"/><Relationship Id="rId1951" Type="http://schemas.openxmlformats.org/officeDocument/2006/relationships/hyperlink" Target="http://www.vwc.edu/" TargetMode="External"/><Relationship Id="rId36" Type="http://schemas.openxmlformats.org/officeDocument/2006/relationships/hyperlink" Target="http://www.aicag.edu/" TargetMode="External"/><Relationship Id="rId1604" Type="http://schemas.openxmlformats.org/officeDocument/2006/relationships/hyperlink" Target="http://www.mcgregor.edu/" TargetMode="External"/><Relationship Id="rId185" Type="http://schemas.openxmlformats.org/officeDocument/2006/relationships/hyperlink" Target="http://www.boisestate.edu/" TargetMode="External"/><Relationship Id="rId1811" Type="http://schemas.openxmlformats.org/officeDocument/2006/relationships/hyperlink" Target="http://www.universityofnorthamerica.org/" TargetMode="External"/><Relationship Id="rId1909" Type="http://schemas.openxmlformats.org/officeDocument/2006/relationships/hyperlink" Target="http://www.uwec.edu/" TargetMode="External"/><Relationship Id="rId392" Type="http://schemas.openxmlformats.org/officeDocument/2006/relationships/hyperlink" Target="http://www.colum.edu/" TargetMode="External"/><Relationship Id="rId697" Type="http://schemas.openxmlformats.org/officeDocument/2006/relationships/hyperlink" Target="http://www.hood.edu/" TargetMode="External"/><Relationship Id="rId252" Type="http://schemas.openxmlformats.org/officeDocument/2006/relationships/hyperlink" Target="http://www.csusb.edu/" TargetMode="External"/><Relationship Id="rId1187" Type="http://schemas.openxmlformats.org/officeDocument/2006/relationships/hyperlink" Target="http://www.olivetcollege.edu/" TargetMode="External"/><Relationship Id="rId112" Type="http://schemas.openxmlformats.org/officeDocument/2006/relationships/hyperlink" Target="http://www.baker.edu/visit/auburn.html" TargetMode="External"/><Relationship Id="rId557" Type="http://schemas.openxmlformats.org/officeDocument/2006/relationships/hyperlink" Target="http://www.flagler.edu/" TargetMode="External"/><Relationship Id="rId764" Type="http://schemas.openxmlformats.org/officeDocument/2006/relationships/hyperlink" Target="http://www.jcu.edu/" TargetMode="External"/><Relationship Id="rId971" Type="http://schemas.openxmlformats.org/officeDocument/2006/relationships/hyperlink" Target="http://www.ham.muohio.edu/" TargetMode="External"/><Relationship Id="rId1394" Type="http://schemas.openxmlformats.org/officeDocument/2006/relationships/hyperlink" Target="http://www.smith.edu/" TargetMode="External"/><Relationship Id="rId1699" Type="http://schemas.openxmlformats.org/officeDocument/2006/relationships/hyperlink" Target="http://www.ucsc.edu/" TargetMode="External"/><Relationship Id="rId2000" Type="http://schemas.openxmlformats.org/officeDocument/2006/relationships/hyperlink" Target="http://www.west.edu/" TargetMode="External"/><Relationship Id="rId417" Type="http://schemas.openxmlformats.org/officeDocument/2006/relationships/hyperlink" Target="http://www.conncoll.edu/" TargetMode="External"/><Relationship Id="rId624" Type="http://schemas.openxmlformats.org/officeDocument/2006/relationships/hyperlink" Target="http://www.goddard.edu/" TargetMode="External"/><Relationship Id="rId831" Type="http://schemas.openxmlformats.org/officeDocument/2006/relationships/hyperlink" Target="http://www.laroche.edu/" TargetMode="External"/><Relationship Id="rId1047" Type="http://schemas.openxmlformats.org/officeDocument/2006/relationships/hyperlink" Target="http://www.mountunion.edu/" TargetMode="External"/><Relationship Id="rId1254" Type="http://schemas.openxmlformats.org/officeDocument/2006/relationships/hyperlink" Target="http://www.ptloma.edu/" TargetMode="External"/><Relationship Id="rId1461" Type="http://schemas.openxmlformats.org/officeDocument/2006/relationships/hyperlink" Target="http://www.buffalo.edu/" TargetMode="External"/><Relationship Id="rId929" Type="http://schemas.openxmlformats.org/officeDocument/2006/relationships/hyperlink" Target="http://www.maryvillecollege.edu/" TargetMode="External"/><Relationship Id="rId1114" Type="http://schemas.openxmlformats.org/officeDocument/2006/relationships/hyperlink" Target="http://www.noctrl.edu/" TargetMode="External"/><Relationship Id="rId1321" Type="http://schemas.openxmlformats.org/officeDocument/2006/relationships/hyperlink" Target="http://www.rwu.edu/" TargetMode="External"/><Relationship Id="rId1559" Type="http://schemas.openxmlformats.org/officeDocument/2006/relationships/hyperlink" Target="http://www.tnstate.edu/" TargetMode="External"/><Relationship Id="rId1766" Type="http://schemas.openxmlformats.org/officeDocument/2006/relationships/hyperlink" Target="http://www.umbc.edu/" TargetMode="External"/><Relationship Id="rId1973" Type="http://schemas.openxmlformats.org/officeDocument/2006/relationships/hyperlink" Target="http://www.wustl.edu/" TargetMode="External"/><Relationship Id="rId58" Type="http://schemas.openxmlformats.org/officeDocument/2006/relationships/hyperlink" Target="http://www.antiochla.edu/" TargetMode="External"/><Relationship Id="rId1419" Type="http://schemas.openxmlformats.org/officeDocument/2006/relationships/hyperlink" Target="http://www.snhu.edu/" TargetMode="External"/><Relationship Id="rId1626" Type="http://schemas.openxmlformats.org/officeDocument/2006/relationships/hyperlink" Target="http://www.touro.edu/" TargetMode="External"/><Relationship Id="rId1833" Type="http://schemas.openxmlformats.org/officeDocument/2006/relationships/hyperlink" Target="http://www.phoenix.edu/" TargetMode="External"/><Relationship Id="rId1900" Type="http://schemas.openxmlformats.org/officeDocument/2006/relationships/hyperlink" Target="http://www.utah.edu/" TargetMode="External"/><Relationship Id="rId274" Type="http://schemas.openxmlformats.org/officeDocument/2006/relationships/hyperlink" Target="http://www.cmu.edu/" TargetMode="External"/><Relationship Id="rId481" Type="http://schemas.openxmlformats.org/officeDocument/2006/relationships/hyperlink" Target="http://www.dspt.edu/" TargetMode="External"/><Relationship Id="rId134" Type="http://schemas.openxmlformats.org/officeDocument/2006/relationships/hyperlink" Target="http://www.bwc.edu/" TargetMode="External"/><Relationship Id="rId579" Type="http://schemas.openxmlformats.org/officeDocument/2006/relationships/hyperlink" Target="http://www.fvsc.peachnet.edu/" TargetMode="External"/><Relationship Id="rId786" Type="http://schemas.openxmlformats.org/officeDocument/2006/relationships/hyperlink" Target="http://www.kaplan.edu/" TargetMode="External"/><Relationship Id="rId993" Type="http://schemas.openxmlformats.org/officeDocument/2006/relationships/hyperlink" Target="http://www.miad.edu/" TargetMode="External"/><Relationship Id="rId341" Type="http://schemas.openxmlformats.org/officeDocument/2006/relationships/hyperlink" Target="http://www.clayton.edu/" TargetMode="External"/><Relationship Id="rId439" Type="http://schemas.openxmlformats.org/officeDocument/2006/relationships/hyperlink" Target="http://www.dana.edu/" TargetMode="External"/><Relationship Id="rId646" Type="http://schemas.openxmlformats.org/officeDocument/2006/relationships/hyperlink" Target="http://www.greenmtn.edu/" TargetMode="External"/><Relationship Id="rId1069" Type="http://schemas.openxmlformats.org/officeDocument/2006/relationships/hyperlink" Target="http://www.nu.edu/" TargetMode="External"/><Relationship Id="rId1276" Type="http://schemas.openxmlformats.org/officeDocument/2006/relationships/hyperlink" Target="http://www.queens.edu/" TargetMode="External"/><Relationship Id="rId1483" Type="http://schemas.openxmlformats.org/officeDocument/2006/relationships/hyperlink" Target="http://www.sunymaritime.edu/" TargetMode="External"/><Relationship Id="rId2022" Type="http://schemas.openxmlformats.org/officeDocument/2006/relationships/hyperlink" Target="http://www.wvu.edu/" TargetMode="External"/><Relationship Id="rId201" Type="http://schemas.openxmlformats.org/officeDocument/2006/relationships/hyperlink" Target="http://www.breyerstate.com/" TargetMode="External"/><Relationship Id="rId506" Type="http://schemas.openxmlformats.org/officeDocument/2006/relationships/hyperlink" Target="http://www.enmu.edu/" TargetMode="External"/><Relationship Id="rId853" Type="http://schemas.openxmlformats.org/officeDocument/2006/relationships/hyperlink" Target="http://www.life.edu/" TargetMode="External"/><Relationship Id="rId1136" Type="http://schemas.openxmlformats.org/officeDocument/2006/relationships/hyperlink" Target="http://www.nwc.edu/" TargetMode="External"/><Relationship Id="rId1690" Type="http://schemas.openxmlformats.org/officeDocument/2006/relationships/hyperlink" Target="http://www.uchastings.edu/" TargetMode="External"/><Relationship Id="rId1788" Type="http://schemas.openxmlformats.org/officeDocument/2006/relationships/hyperlink" Target="http://www.umc.edu/" TargetMode="External"/><Relationship Id="rId1995" Type="http://schemas.openxmlformats.org/officeDocument/2006/relationships/hyperlink" Target="http://www.westernbible.edu/" TargetMode="External"/><Relationship Id="rId713" Type="http://schemas.openxmlformats.org/officeDocument/2006/relationships/hyperlink" Target="http://www.iglobal.edu/" TargetMode="External"/><Relationship Id="rId920" Type="http://schemas.openxmlformats.org/officeDocument/2006/relationships/hyperlink" Target="http://www.martinmethodist.edu/" TargetMode="External"/><Relationship Id="rId1343" Type="http://schemas.openxmlformats.org/officeDocument/2006/relationships/hyperlink" Target="http://www.samford.edu/" TargetMode="External"/><Relationship Id="rId1550" Type="http://schemas.openxmlformats.org/officeDocument/2006/relationships/hyperlink" Target="http://www.syr.edu/" TargetMode="External"/><Relationship Id="rId1648" Type="http://schemas.openxmlformats.org/officeDocument/2006/relationships/hyperlink" Target="http://troy.troy.edu/" TargetMode="External"/><Relationship Id="rId1203" Type="http://schemas.openxmlformats.org/officeDocument/2006/relationships/hyperlink" Target="http://www.pace.edu/" TargetMode="External"/><Relationship Id="rId1410" Type="http://schemas.openxmlformats.org/officeDocument/2006/relationships/hyperlink" Target="http://www.sccu.edu/" TargetMode="External"/><Relationship Id="rId1508" Type="http://schemas.openxmlformats.org/officeDocument/2006/relationships/hyperlink" Target="http://www.stjohnsem.edu/" TargetMode="External"/><Relationship Id="rId1855" Type="http://schemas.openxmlformats.org/officeDocument/2006/relationships/hyperlink" Target="http://www.rcce.sc.edu/salkehatchie/" TargetMode="External"/><Relationship Id="rId1715" Type="http://schemas.openxmlformats.org/officeDocument/2006/relationships/hyperlink" Target="http://www.averypoint.uconn.edu/" TargetMode="External"/><Relationship Id="rId1922" Type="http://schemas.openxmlformats.org/officeDocument/2006/relationships/hyperlink" Target="http://www.uwyo.edu/" TargetMode="External"/><Relationship Id="rId296" Type="http://schemas.openxmlformats.org/officeDocument/2006/relationships/hyperlink" Target="http://www.cwu.edu/" TargetMode="External"/><Relationship Id="rId156" Type="http://schemas.openxmlformats.org/officeDocument/2006/relationships/hyperlink" Target="http://www.bentley.edu/" TargetMode="External"/><Relationship Id="rId363" Type="http://schemas.openxmlformats.org/officeDocument/2006/relationships/hyperlink" Target="http://www.miseri.edu/" TargetMode="External"/><Relationship Id="rId570" Type="http://schemas.openxmlformats.org/officeDocument/2006/relationships/hyperlink" Target="http://www.flsouthern.edu/" TargetMode="External"/><Relationship Id="rId2044" Type="http://schemas.openxmlformats.org/officeDocument/2006/relationships/hyperlink" Target="http://www.wbcoll.edu/" TargetMode="External"/><Relationship Id="rId223" Type="http://schemas.openxmlformats.org/officeDocument/2006/relationships/hyperlink" Target="http://www.calbaptist.edu/" TargetMode="External"/><Relationship Id="rId430" Type="http://schemas.openxmlformats.org/officeDocument/2006/relationships/hyperlink" Target="http://www.culver.edu/" TargetMode="External"/><Relationship Id="rId668" Type="http://schemas.openxmlformats.org/officeDocument/2006/relationships/hyperlink" Target="http://www.hssu.edu/" TargetMode="External"/><Relationship Id="rId875" Type="http://schemas.openxmlformats.org/officeDocument/2006/relationships/hyperlink" Target="http://www.lsu.edu/" TargetMode="External"/><Relationship Id="rId1060" Type="http://schemas.openxmlformats.org/officeDocument/2006/relationships/hyperlink" Target="http://www.national.edu/roseville.html" TargetMode="External"/><Relationship Id="rId1298" Type="http://schemas.openxmlformats.org/officeDocument/2006/relationships/hyperlink" Target="http://www.rockhurst.edu/3.0/academic_programs/nursing/admis3.html" TargetMode="External"/><Relationship Id="rId528" Type="http://schemas.openxmlformats.org/officeDocument/2006/relationships/hyperlink" Target="http://www.emmanuel.edu/" TargetMode="External"/><Relationship Id="rId735" Type="http://schemas.openxmlformats.org/officeDocument/2006/relationships/hyperlink" Target="http://www.iupui.edu/" TargetMode="External"/><Relationship Id="rId942" Type="http://schemas.openxmlformats.org/officeDocument/2006/relationships/hyperlink" Target="http://www.mckendree.edu/" TargetMode="External"/><Relationship Id="rId1158" Type="http://schemas.openxmlformats.org/officeDocument/2006/relationships/hyperlink" Target="http://www.olc.edu/" TargetMode="External"/><Relationship Id="rId1365" Type="http://schemas.openxmlformats.org/officeDocument/2006/relationships/hyperlink" Target="http://www.schreiner.edu/" TargetMode="External"/><Relationship Id="rId1572" Type="http://schemas.openxmlformats.org/officeDocument/2006/relationships/hyperlink" Target="http://www.texascollege.edu/" TargetMode="External"/><Relationship Id="rId1018" Type="http://schemas.openxmlformats.org/officeDocument/2006/relationships/hyperlink" Target="http://www.montserrat.edu/" TargetMode="External"/><Relationship Id="rId1225" Type="http://schemas.openxmlformats.org/officeDocument/2006/relationships/hyperlink" Target="http://www.pco.edu/" TargetMode="External"/><Relationship Id="rId1432" Type="http://schemas.openxmlformats.org/officeDocument/2006/relationships/hyperlink" Target="http://www.sagu.edu/" TargetMode="External"/><Relationship Id="rId1877" Type="http://schemas.openxmlformats.org/officeDocument/2006/relationships/hyperlink" Target="http://www.utb.edu/" TargetMode="External"/><Relationship Id="rId71" Type="http://schemas.openxmlformats.org/officeDocument/2006/relationships/hyperlink" Target="https://campus.asu.edu/tempe" TargetMode="External"/><Relationship Id="rId802" Type="http://schemas.openxmlformats.org/officeDocument/2006/relationships/hyperlink" Target="http://www.kcc.edu/" TargetMode="External"/><Relationship Id="rId1737" Type="http://schemas.openxmlformats.org/officeDocument/2006/relationships/hyperlink" Target="http://www.uh.edu/" TargetMode="External"/><Relationship Id="rId1944" Type="http://schemas.openxmlformats.org/officeDocument/2006/relationships/hyperlink" Target="http://www.vcu.edu/" TargetMode="External"/><Relationship Id="rId29" Type="http://schemas.openxmlformats.org/officeDocument/2006/relationships/hyperlink" Target="http://www.amberu.edu/" TargetMode="External"/><Relationship Id="rId178" Type="http://schemas.openxmlformats.org/officeDocument/2006/relationships/hyperlink" Target="http://www.bloomu.edu/" TargetMode="External"/><Relationship Id="rId1804" Type="http://schemas.openxmlformats.org/officeDocument/2006/relationships/hyperlink" Target="http://www.une.edu/wcdirctn.html" TargetMode="External"/><Relationship Id="rId385" Type="http://schemas.openxmlformats.org/officeDocument/2006/relationships/hyperlink" Target="http://www.wm.edu/" TargetMode="External"/><Relationship Id="rId592" Type="http://schemas.openxmlformats.org/officeDocument/2006/relationships/hyperlink" Target="http://www.fhu.edu/" TargetMode="External"/><Relationship Id="rId2066" Type="http://schemas.openxmlformats.org/officeDocument/2006/relationships/hyperlink" Target="http://www.yale.edu/" TargetMode="External"/><Relationship Id="rId245" Type="http://schemas.openxmlformats.org/officeDocument/2006/relationships/hyperlink" Target="http://www.fullerton.edu/" TargetMode="External"/><Relationship Id="rId452" Type="http://schemas.openxmlformats.org/officeDocument/2006/relationships/hyperlink" Target="http://www.delta-university.org/" TargetMode="External"/><Relationship Id="rId897" Type="http://schemas.openxmlformats.org/officeDocument/2006/relationships/hyperlink" Target="http://www.madisonu.com/" TargetMode="External"/><Relationship Id="rId1082" Type="http://schemas.openxmlformats.org/officeDocument/2006/relationships/hyperlink" Target="http://www.newenglandconservatory.edu/" TargetMode="External"/><Relationship Id="rId105" Type="http://schemas.openxmlformats.org/officeDocument/2006/relationships/hyperlink" Target="http://www.austin.cc.tx.us/" TargetMode="External"/><Relationship Id="rId312" Type="http://schemas.openxmlformats.org/officeDocument/2006/relationships/hyperlink" Target="http://www.christianheritage.edu/" TargetMode="External"/><Relationship Id="rId757" Type="http://schemas.openxmlformats.org/officeDocument/2006/relationships/hyperlink" Target="http://www.jsums.edu/" TargetMode="External"/><Relationship Id="rId964" Type="http://schemas.openxmlformats.org/officeDocument/2006/relationships/hyperlink" Target="http://www.messiah.edu/" TargetMode="External"/><Relationship Id="rId1387" Type="http://schemas.openxmlformats.org/officeDocument/2006/relationships/hyperlink" Target="http://www.simons-rock.edu/" TargetMode="External"/><Relationship Id="rId1594" Type="http://schemas.openxmlformats.org/officeDocument/2006/relationships/hyperlink" Target="http://www.corcoran.edu/college/" TargetMode="External"/><Relationship Id="rId93" Type="http://schemas.openxmlformats.org/officeDocument/2006/relationships/hyperlink" Target="http://www.aiu.edu/" TargetMode="External"/><Relationship Id="rId617" Type="http://schemas.openxmlformats.org/officeDocument/2006/relationships/hyperlink" Target="http://www.aspp.edu/ga.html" TargetMode="External"/><Relationship Id="rId824" Type="http://schemas.openxmlformats.org/officeDocument/2006/relationships/hyperlink" Target="http://www.lamar.edu/" TargetMode="External"/><Relationship Id="rId1247" Type="http://schemas.openxmlformats.org/officeDocument/2006/relationships/hyperlink" Target="http://www.pbc.edu/" TargetMode="External"/><Relationship Id="rId1454" Type="http://schemas.openxmlformats.org/officeDocument/2006/relationships/hyperlink" Target="http://standford-university.edu.tf/" TargetMode="External"/><Relationship Id="rId1661" Type="http://schemas.openxmlformats.org/officeDocument/2006/relationships/hyperlink" Target="http://www.usafa.af.mil/" TargetMode="External"/><Relationship Id="rId1899" Type="http://schemas.openxmlformats.org/officeDocument/2006/relationships/hyperlink" Target="http://www.utulsa.edu/" TargetMode="External"/><Relationship Id="rId1107" Type="http://schemas.openxmlformats.org/officeDocument/2006/relationships/hyperlink" Target="http://www.nsu.edu/" TargetMode="External"/><Relationship Id="rId1314" Type="http://schemas.openxmlformats.org/officeDocument/2006/relationships/hyperlink" Target="http://www.rit.edu/" TargetMode="External"/><Relationship Id="rId1521" Type="http://schemas.openxmlformats.org/officeDocument/2006/relationships/hyperlink" Target="http://www.slu.edu/" TargetMode="External"/><Relationship Id="rId1759" Type="http://schemas.openxmlformats.org/officeDocument/2006/relationships/hyperlink" Target="http://www.umpi.maine.edu/" TargetMode="External"/><Relationship Id="rId1966" Type="http://schemas.openxmlformats.org/officeDocument/2006/relationships/hyperlink" Target="http://www.wlu.edu/" TargetMode="External"/><Relationship Id="rId1619" Type="http://schemas.openxmlformats.org/officeDocument/2006/relationships/hyperlink" Target="http://www.thomasmorecollege.edu/" TargetMode="External"/><Relationship Id="rId1826" Type="http://schemas.openxmlformats.org/officeDocument/2006/relationships/hyperlink" Target="http://www.unw.ac/" TargetMode="External"/><Relationship Id="rId20" Type="http://schemas.openxmlformats.org/officeDocument/2006/relationships/hyperlink" Target="http://www.alfredadler.edu/" TargetMode="External"/><Relationship Id="rId267" Type="http://schemas.openxmlformats.org/officeDocument/2006/relationships/hyperlink" Target="http://www.capital.edu/" TargetMode="External"/><Relationship Id="rId474" Type="http://schemas.openxmlformats.org/officeDocument/2006/relationships/hyperlink" Target="http://www.dsu.nodak.edu/" TargetMode="External"/><Relationship Id="rId127" Type="http://schemas.openxmlformats.org/officeDocument/2006/relationships/hyperlink" Target="http://www.barat.edu/" TargetMode="External"/><Relationship Id="rId681" Type="http://schemas.openxmlformats.org/officeDocument/2006/relationships/hyperlink" Target="http://www.hendrix.edu/" TargetMode="External"/><Relationship Id="rId779" Type="http://schemas.openxmlformats.org/officeDocument/2006/relationships/hyperlink" Target="http://home.judson.edu/" TargetMode="External"/><Relationship Id="rId986" Type="http://schemas.openxmlformats.org/officeDocument/2006/relationships/hyperlink" Target="http://www.maufl.edu/" TargetMode="External"/><Relationship Id="rId334" Type="http://schemas.openxmlformats.org/officeDocument/2006/relationships/hyperlink" Target="http://www.mckenna.edu/" TargetMode="External"/><Relationship Id="rId541" Type="http://schemas.openxmlformats.org/officeDocument/2006/relationships/hyperlink" Target="http://www.fairfield.edu/" TargetMode="External"/><Relationship Id="rId639" Type="http://schemas.openxmlformats.org/officeDocument/2006/relationships/hyperlink" Target="http://www.gram.edu/" TargetMode="External"/><Relationship Id="rId1171" Type="http://schemas.openxmlformats.org/officeDocument/2006/relationships/hyperlink" Target="http://www.lancaster.ohiou.edu/" TargetMode="External"/><Relationship Id="rId1269" Type="http://schemas.openxmlformats.org/officeDocument/2006/relationships/hyperlink" Target="http://www.prin.edu/" TargetMode="External"/><Relationship Id="rId1476" Type="http://schemas.openxmlformats.org/officeDocument/2006/relationships/hyperlink" Target="http://www.sunyopt.edu/" TargetMode="External"/><Relationship Id="rId2015" Type="http://schemas.openxmlformats.org/officeDocument/2006/relationships/hyperlink" Target="http://www.westminster.edu/" TargetMode="External"/><Relationship Id="rId401" Type="http://schemas.openxmlformats.org/officeDocument/2006/relationships/hyperlink" Target="http://www.ccad.edu/" TargetMode="External"/><Relationship Id="rId846" Type="http://schemas.openxmlformats.org/officeDocument/2006/relationships/hyperlink" Target="http://www.letu.edu/" TargetMode="External"/><Relationship Id="rId1031" Type="http://schemas.openxmlformats.org/officeDocument/2006/relationships/hyperlink" Target="http://www.morrison.neumont.edu/" TargetMode="External"/><Relationship Id="rId1129" Type="http://schemas.openxmlformats.org/officeDocument/2006/relationships/hyperlink" Target="http://www.ngc.edu/" TargetMode="External"/><Relationship Id="rId1683" Type="http://schemas.openxmlformats.org/officeDocument/2006/relationships/hyperlink" Target="http://www.uapb.edu/" TargetMode="External"/><Relationship Id="rId1890" Type="http://schemas.openxmlformats.org/officeDocument/2006/relationships/hyperlink" Target="http://www.uarts.edu/" TargetMode="External"/><Relationship Id="rId1988" Type="http://schemas.openxmlformats.org/officeDocument/2006/relationships/hyperlink" Target="http://www.wesleyan.edu/" TargetMode="External"/><Relationship Id="rId706" Type="http://schemas.openxmlformats.org/officeDocument/2006/relationships/hyperlink" Target="http://www.huntcol.edu/" TargetMode="External"/><Relationship Id="rId913" Type="http://schemas.openxmlformats.org/officeDocument/2006/relationships/hyperlink" Target="http://www.marietta.edu/" TargetMode="External"/><Relationship Id="rId1336" Type="http://schemas.openxmlformats.org/officeDocument/2006/relationships/hyperlink" Target="http://www.svsu.edu/" TargetMode="External"/><Relationship Id="rId1543" Type="http://schemas.openxmlformats.org/officeDocument/2006/relationships/hyperlink" Target="http://www.sxu.edu/" TargetMode="External"/><Relationship Id="rId1750" Type="http://schemas.openxmlformats.org/officeDocument/2006/relationships/hyperlink" Target="http://www.ulaverne.edu/" TargetMode="External"/><Relationship Id="rId42" Type="http://schemas.openxmlformats.org/officeDocument/2006/relationships/hyperlink" Target="http://www.ajula.edu/" TargetMode="External"/><Relationship Id="rId1403" Type="http://schemas.openxmlformats.org/officeDocument/2006/relationships/hyperlink" Target="http://www.secollege.edu/" TargetMode="External"/><Relationship Id="rId1610" Type="http://schemas.openxmlformats.org/officeDocument/2006/relationships/hyperlink" Target="http://www.southernchristian.edu/" TargetMode="External"/><Relationship Id="rId1848" Type="http://schemas.openxmlformats.org/officeDocument/2006/relationships/hyperlink" Target="http://www.uofs.edu/" TargetMode="External"/><Relationship Id="rId191" Type="http://schemas.openxmlformats.org/officeDocument/2006/relationships/hyperlink" Target="http://www.bowiestate.edu/" TargetMode="External"/><Relationship Id="rId1708" Type="http://schemas.openxmlformats.org/officeDocument/2006/relationships/hyperlink" Target="http://www.uchicago.edu/" TargetMode="External"/><Relationship Id="rId1915" Type="http://schemas.openxmlformats.org/officeDocument/2006/relationships/hyperlink" Target="http://www.uwp.edu/" TargetMode="External"/><Relationship Id="rId289" Type="http://schemas.openxmlformats.org/officeDocument/2006/relationships/hyperlink" Target="http://www.cbcag.edu/" TargetMode="External"/><Relationship Id="rId496" Type="http://schemas.openxmlformats.org/officeDocument/2006/relationships/hyperlink" Target="http://www.ecu.edu/" TargetMode="External"/><Relationship Id="rId149" Type="http://schemas.openxmlformats.org/officeDocument/2006/relationships/hyperlink" Target="http://www.bemidji.msus.edu/" TargetMode="External"/><Relationship Id="rId356" Type="http://schemas.openxmlformats.org/officeDocument/2006/relationships/hyperlink" Target="http://www.coleman.edu/" TargetMode="External"/><Relationship Id="rId563" Type="http://schemas.openxmlformats.org/officeDocument/2006/relationships/hyperlink" Target="http://www.fit.edu/" TargetMode="External"/><Relationship Id="rId770" Type="http://schemas.openxmlformats.org/officeDocument/2006/relationships/hyperlink" Target="http://www.jccc.edu/" TargetMode="External"/><Relationship Id="rId1193" Type="http://schemas.openxmlformats.org/officeDocument/2006/relationships/hyperlink" Target="http://www.ohsu.edu/" TargetMode="External"/><Relationship Id="rId2037" Type="http://schemas.openxmlformats.org/officeDocument/2006/relationships/hyperlink" Target="http://www.wilkes.edu/" TargetMode="External"/><Relationship Id="rId216" Type="http://schemas.openxmlformats.org/officeDocument/2006/relationships/hyperlink" Target="http://www.brynmawr.edu/" TargetMode="External"/><Relationship Id="rId423" Type="http://schemas.openxmlformats.org/officeDocument/2006/relationships/hyperlink" Target="http://www.cornish.edu/" TargetMode="External"/><Relationship Id="rId868" Type="http://schemas.openxmlformats.org/officeDocument/2006/relationships/hyperlink" Target="http://www.cwpost.liunet.edu/cwis/cwp/post.html" TargetMode="External"/><Relationship Id="rId1053" Type="http://schemas.openxmlformats.org/officeDocument/2006/relationships/hyperlink" Target="http://www.muskingum.edu/" TargetMode="External"/><Relationship Id="rId1260" Type="http://schemas.openxmlformats.org/officeDocument/2006/relationships/hyperlink" Target="http://www.pcc.edu/" TargetMode="External"/><Relationship Id="rId1498" Type="http://schemas.openxmlformats.org/officeDocument/2006/relationships/hyperlink" Target="http://www.stevens-tech.edu/" TargetMode="External"/><Relationship Id="rId630" Type="http://schemas.openxmlformats.org/officeDocument/2006/relationships/hyperlink" Target="http://www.gcts.edu/" TargetMode="External"/><Relationship Id="rId728" Type="http://schemas.openxmlformats.org/officeDocument/2006/relationships/hyperlink" Target="http://www.iuk.edu/" TargetMode="External"/><Relationship Id="rId935" Type="http://schemas.openxmlformats.org/officeDocument/2006/relationships/hyperlink" Target="http://www.mcp.edu/" TargetMode="External"/><Relationship Id="rId1358" Type="http://schemas.openxmlformats.org/officeDocument/2006/relationships/hyperlink" Target="http://www.savstate.edu/" TargetMode="External"/><Relationship Id="rId1565" Type="http://schemas.openxmlformats.org/officeDocument/2006/relationships/hyperlink" Target="http://www.tamu-commerce.edu/" TargetMode="External"/><Relationship Id="rId1772" Type="http://schemas.openxmlformats.org/officeDocument/2006/relationships/hyperlink" Target="http://www.umb.edu/" TargetMode="External"/><Relationship Id="rId64" Type="http://schemas.openxmlformats.org/officeDocument/2006/relationships/hyperlink" Target="http://www.arcadia.edu/" TargetMode="External"/><Relationship Id="rId1120" Type="http://schemas.openxmlformats.org/officeDocument/2006/relationships/hyperlink" Target="http://www.neu.edu/" TargetMode="External"/><Relationship Id="rId1218" Type="http://schemas.openxmlformats.org/officeDocument/2006/relationships/hyperlink" Target="http://www.palmer.edu/PCCW/pcwmain.htm" TargetMode="External"/><Relationship Id="rId1425" Type="http://schemas.openxmlformats.org/officeDocument/2006/relationships/hyperlink" Target="http://www.suu.edu/" TargetMode="External"/><Relationship Id="rId1632" Type="http://schemas.openxmlformats.org/officeDocument/2006/relationships/hyperlink" Target="http://www.trident.edu/" TargetMode="External"/><Relationship Id="rId1937" Type="http://schemas.openxmlformats.org/officeDocument/2006/relationships/hyperlink" Target="http://www.vassar.edu/" TargetMode="External"/><Relationship Id="rId280" Type="http://schemas.openxmlformats.org/officeDocument/2006/relationships/hyperlink" Target="http://www.csc.vsc.edu/" TargetMode="External"/><Relationship Id="rId140" Type="http://schemas.openxmlformats.org/officeDocument/2006/relationships/hyperlink" Target="http://www.bcm.tmc.edu/" TargetMode="External"/><Relationship Id="rId378" Type="http://schemas.openxmlformats.org/officeDocument/2006/relationships/hyperlink" Target="http://www.csm.edu/" TargetMode="External"/><Relationship Id="rId585" Type="http://schemas.openxmlformats.org/officeDocument/2006/relationships/hyperlink" Target="http://www.franklincoll.edu/" TargetMode="External"/><Relationship Id="rId792" Type="http://schemas.openxmlformats.org/officeDocument/2006/relationships/hyperlink" Target="http://www.kendall.edu/" TargetMode="External"/><Relationship Id="rId2059" Type="http://schemas.openxmlformats.org/officeDocument/2006/relationships/hyperlink" Target="http://www.woodburyu.edu/" TargetMode="External"/><Relationship Id="rId6" Type="http://schemas.openxmlformats.org/officeDocument/2006/relationships/hyperlink" Target="http://www.afit.af.mil/" TargetMode="External"/><Relationship Id="rId238" Type="http://schemas.openxmlformats.org/officeDocument/2006/relationships/hyperlink" Target="http://www.cspp.edu/catalog/10.htm" TargetMode="External"/><Relationship Id="rId445" Type="http://schemas.openxmlformats.org/officeDocument/2006/relationships/hyperlink" Target="http://www.davenport.edu/kalamazoo/" TargetMode="External"/><Relationship Id="rId652" Type="http://schemas.openxmlformats.org/officeDocument/2006/relationships/hyperlink" Target="http://www.gac.edu/" TargetMode="External"/><Relationship Id="rId1075" Type="http://schemas.openxmlformats.org/officeDocument/2006/relationships/hyperlink" Target="http://www.nebrwesleyan.edu/" TargetMode="External"/><Relationship Id="rId1282" Type="http://schemas.openxmlformats.org/officeDocument/2006/relationships/hyperlink" Target="http://www.rmc.edu/" TargetMode="External"/><Relationship Id="rId305" Type="http://schemas.openxmlformats.org/officeDocument/2006/relationships/hyperlink" Target="http://www.chatham.edu/" TargetMode="External"/><Relationship Id="rId512" Type="http://schemas.openxmlformats.org/officeDocument/2006/relationships/hyperlink" Target="http://www.etbu.edu/" TargetMode="External"/><Relationship Id="rId957" Type="http://schemas.openxmlformats.org/officeDocument/2006/relationships/hyperlink" Target="http://www.mercer.edu/" TargetMode="External"/><Relationship Id="rId1142" Type="http://schemas.openxmlformats.org/officeDocument/2006/relationships/hyperlink" Target="http://www.northwestu.edu/" TargetMode="External"/><Relationship Id="rId1587" Type="http://schemas.openxmlformats.org/officeDocument/2006/relationships/hyperlink" Target="http://www.tci.edu/" TargetMode="External"/><Relationship Id="rId1794" Type="http://schemas.openxmlformats.org/officeDocument/2006/relationships/hyperlink" Target="http://www.umwestern.edu/" TargetMode="External"/><Relationship Id="rId86" Type="http://schemas.openxmlformats.org/officeDocument/2006/relationships/hyperlink" Target="http://www.asbury.edu/" TargetMode="External"/><Relationship Id="rId817" Type="http://schemas.openxmlformats.org/officeDocument/2006/relationships/hyperlink" Target="http://www.lgc.edu/" TargetMode="External"/><Relationship Id="rId1002" Type="http://schemas.openxmlformats.org/officeDocument/2006/relationships/hyperlink" Target="http://www.mvsu.edu/" TargetMode="External"/><Relationship Id="rId1447" Type="http://schemas.openxmlformats.org/officeDocument/2006/relationships/hyperlink" Target="http://www.spelman.edu/" TargetMode="External"/><Relationship Id="rId1654" Type="http://schemas.openxmlformats.org/officeDocument/2006/relationships/hyperlink" Target="http://www.tusk.edu/" TargetMode="External"/><Relationship Id="rId1861" Type="http://schemas.openxmlformats.org/officeDocument/2006/relationships/hyperlink" Target="http://www.usi.edu/" TargetMode="External"/><Relationship Id="rId1307" Type="http://schemas.openxmlformats.org/officeDocument/2006/relationships/hyperlink" Target="http://www.rivier.edu/" TargetMode="External"/><Relationship Id="rId1514" Type="http://schemas.openxmlformats.org/officeDocument/2006/relationships/hyperlink" Target="http://www.sjcny.edu/patchogue/" TargetMode="External"/><Relationship Id="rId1721" Type="http://schemas.openxmlformats.org/officeDocument/2006/relationships/hyperlink" Target="http://www.udayton.edu/" TargetMode="External"/><Relationship Id="rId1959" Type="http://schemas.openxmlformats.org/officeDocument/2006/relationships/hyperlink" Target="http://www.walshcol.edu/" TargetMode="External"/><Relationship Id="rId13" Type="http://schemas.openxmlformats.org/officeDocument/2006/relationships/hyperlink" Target="http://www.amc.edu/" TargetMode="External"/><Relationship Id="rId1819" Type="http://schemas.openxmlformats.org/officeDocument/2006/relationships/hyperlink" Target="http://www.univnorthco.edu/" TargetMode="External"/><Relationship Id="rId162" Type="http://schemas.openxmlformats.org/officeDocument/2006/relationships/hyperlink" Target="http://www.bethany.edu/" TargetMode="External"/><Relationship Id="rId467" Type="http://schemas.openxmlformats.org/officeDocument/2006/relationships/hyperlink" Target="http://www.atl.devry.edu/" TargetMode="External"/><Relationship Id="rId1097" Type="http://schemas.openxmlformats.org/officeDocument/2006/relationships/hyperlink" Target="http://www.nycpm.edu/" TargetMode="External"/><Relationship Id="rId2050" Type="http://schemas.openxmlformats.org/officeDocument/2006/relationships/hyperlink" Target="http://www.wilson.edu/" TargetMode="External"/><Relationship Id="rId674" Type="http://schemas.openxmlformats.org/officeDocument/2006/relationships/hyperlink" Target="http://www.hastings.edu/" TargetMode="External"/><Relationship Id="rId881" Type="http://schemas.openxmlformats.org/officeDocument/2006/relationships/hyperlink" Target="http://www.lourdes.edu/" TargetMode="External"/><Relationship Id="rId979" Type="http://schemas.openxmlformats.org/officeDocument/2006/relationships/hyperlink" Target="http://www.middlebury.edu/" TargetMode="External"/><Relationship Id="rId327" Type="http://schemas.openxmlformats.org/officeDocument/2006/relationships/hyperlink" Target="http://www.nyctc.cuny.edu/" TargetMode="External"/><Relationship Id="rId534" Type="http://schemas.openxmlformats.org/officeDocument/2006/relationships/hyperlink" Target="http://www.erskine.edu/" TargetMode="External"/><Relationship Id="rId741" Type="http://schemas.openxmlformats.org/officeDocument/2006/relationships/hyperlink" Target="http://www.itt.edu/" TargetMode="External"/><Relationship Id="rId839" Type="http://schemas.openxmlformats.org/officeDocument/2006/relationships/hyperlink" Target="http://www.lmc.edu/" TargetMode="External"/><Relationship Id="rId1164" Type="http://schemas.openxmlformats.org/officeDocument/2006/relationships/hyperlink" Target="http://www.lima.ohio-state.edu/" TargetMode="External"/><Relationship Id="rId1371" Type="http://schemas.openxmlformats.org/officeDocument/2006/relationships/hyperlink" Target="http://www.shawnee.cc.il.us/" TargetMode="External"/><Relationship Id="rId1469" Type="http://schemas.openxmlformats.org/officeDocument/2006/relationships/hyperlink" Target="http://www.oldwestbury.edu/" TargetMode="External"/><Relationship Id="rId2008" Type="http://schemas.openxmlformats.org/officeDocument/2006/relationships/hyperlink" Target="http://www.wschiro.edu/" TargetMode="External"/><Relationship Id="rId601" Type="http://schemas.openxmlformats.org/officeDocument/2006/relationships/hyperlink" Target="http://www.gallaudet.edu/" TargetMode="External"/><Relationship Id="rId1024" Type="http://schemas.openxmlformats.org/officeDocument/2006/relationships/hyperlink" Target="http://www.morehead-st.edu/" TargetMode="External"/><Relationship Id="rId1231" Type="http://schemas.openxmlformats.org/officeDocument/2006/relationships/hyperlink" Target="http://www.hbg.psu.edu/" TargetMode="External"/><Relationship Id="rId1676" Type="http://schemas.openxmlformats.org/officeDocument/2006/relationships/hyperlink" Target="http://www.uaf.edu/" TargetMode="External"/><Relationship Id="rId1883" Type="http://schemas.openxmlformats.org/officeDocument/2006/relationships/hyperlink" Target="http://www.uthct.edu/" TargetMode="External"/><Relationship Id="rId906" Type="http://schemas.openxmlformats.org/officeDocument/2006/relationships/hyperlink" Target="http://www.msmnyc.edu/" TargetMode="External"/><Relationship Id="rId1329" Type="http://schemas.openxmlformats.org/officeDocument/2006/relationships/hyperlink" Target="http://www.sage.edu/RSC/" TargetMode="External"/><Relationship Id="rId1536" Type="http://schemas.openxmlformats.org/officeDocument/2006/relationships/hyperlink" Target="http://www.saintpauls.edu/" TargetMode="External"/><Relationship Id="rId1743" Type="http://schemas.openxmlformats.org/officeDocument/2006/relationships/hyperlink" Target="http://www.uic.edu/" TargetMode="External"/><Relationship Id="rId1950" Type="http://schemas.openxmlformats.org/officeDocument/2006/relationships/hyperlink" Target="http://www.vuu.edu/" TargetMode="External"/><Relationship Id="rId35" Type="http://schemas.openxmlformats.org/officeDocument/2006/relationships/hyperlink" Target="http://www.afionline.org/cafts/cafts.home.html" TargetMode="External"/><Relationship Id="rId1603" Type="http://schemas.openxmlformats.org/officeDocument/2006/relationships/hyperlink" Target="http://www.masters.edu/" TargetMode="External"/><Relationship Id="rId1810" Type="http://schemas.openxmlformats.org/officeDocument/2006/relationships/hyperlink" Target="http://www.una.edu/" TargetMode="External"/><Relationship Id="rId184" Type="http://schemas.openxmlformats.org/officeDocument/2006/relationships/hyperlink" Target="http://www.boisebible.edu/" TargetMode="External"/><Relationship Id="rId391" Type="http://schemas.openxmlformats.org/officeDocument/2006/relationships/hyperlink" Target="http://www.colotechu.edu/" TargetMode="External"/><Relationship Id="rId1908" Type="http://schemas.openxmlformats.org/officeDocument/2006/relationships/hyperlink" Target="http://www.uwla.edu/" TargetMode="External"/><Relationship Id="rId2072" Type="http://schemas.openxmlformats.org/officeDocument/2006/relationships/hyperlink" Target="http://www.ysu.edu/" TargetMode="External"/><Relationship Id="rId251" Type="http://schemas.openxmlformats.org/officeDocument/2006/relationships/hyperlink" Target="http://www.csus.edu/" TargetMode="External"/><Relationship Id="rId489" Type="http://schemas.openxmlformats.org/officeDocument/2006/relationships/hyperlink" Target="http://www.drury.edu/" TargetMode="External"/><Relationship Id="rId696" Type="http://schemas.openxmlformats.org/officeDocument/2006/relationships/hyperlink" Target="http://www.hnc.edu/" TargetMode="External"/><Relationship Id="rId46" Type="http://schemas.openxmlformats.org/officeDocument/2006/relationships/hyperlink" Target="http://www.awu.edu/" TargetMode="External"/><Relationship Id="rId349" Type="http://schemas.openxmlformats.org/officeDocument/2006/relationships/hyperlink" Target="http://www.csuohio.edu/" TargetMode="External"/><Relationship Id="rId556" Type="http://schemas.openxmlformats.org/officeDocument/2006/relationships/hyperlink" Target="http://www.fsc.edu/" TargetMode="External"/><Relationship Id="rId763" Type="http://schemas.openxmlformats.org/officeDocument/2006/relationships/hyperlink" Target="http://www.jbu.edu/" TargetMode="External"/><Relationship Id="rId1186" Type="http://schemas.openxmlformats.org/officeDocument/2006/relationships/hyperlink" Target="http://www.ccc.edu/oliveharvey/" TargetMode="External"/><Relationship Id="rId1393" Type="http://schemas.openxmlformats.org/officeDocument/2006/relationships/hyperlink" Target="http://www.sru.edu/" TargetMode="External"/><Relationship Id="rId1407" Type="http://schemas.openxmlformats.org/officeDocument/2006/relationships/hyperlink" Target="http://www.semo.edu/" TargetMode="External"/><Relationship Id="rId1614" Type="http://schemas.openxmlformats.org/officeDocument/2006/relationships/hyperlink" Target="http://www.tesc.edu/" TargetMode="External"/><Relationship Id="rId1821" Type="http://schemas.openxmlformats.org/officeDocument/2006/relationships/hyperlink" Target="http://www.unva.edu/" TargetMode="External"/><Relationship Id="rId111" Type="http://schemas.openxmlformats.org/officeDocument/2006/relationships/hyperlink" Target="http://www.babson.edu/" TargetMode="External"/><Relationship Id="rId195" Type="http://schemas.openxmlformats.org/officeDocument/2006/relationships/hyperlink" Target="http://www.brandeis.edu/" TargetMode="External"/><Relationship Id="rId209" Type="http://schemas.openxmlformats.org/officeDocument/2006/relationships/hyperlink" Target="http://www.brooks.edu/" TargetMode="External"/><Relationship Id="rId416" Type="http://schemas.openxmlformats.org/officeDocument/2006/relationships/hyperlink" Target="http://www.curf.edu/" TargetMode="External"/><Relationship Id="rId970" Type="http://schemas.openxmlformats.org/officeDocument/2006/relationships/hyperlink" Target="http://www.muohio.edu/" TargetMode="External"/><Relationship Id="rId1046" Type="http://schemas.openxmlformats.org/officeDocument/2006/relationships/hyperlink" Target="http://www.msmary.edu/" TargetMode="External"/><Relationship Id="rId1253" Type="http://schemas.openxmlformats.org/officeDocument/2006/relationships/hyperlink" Target="http://www.plymouth.edu/" TargetMode="External"/><Relationship Id="rId1698" Type="http://schemas.openxmlformats.org/officeDocument/2006/relationships/hyperlink" Target="http://www.ucsb.edu/" TargetMode="External"/><Relationship Id="rId1919" Type="http://schemas.openxmlformats.org/officeDocument/2006/relationships/hyperlink" Target="http://www.uwstout.edu/" TargetMode="External"/><Relationship Id="rId623" Type="http://schemas.openxmlformats.org/officeDocument/2006/relationships/hyperlink" Target="http://www.glenville.wvnet.edu/" TargetMode="External"/><Relationship Id="rId830" Type="http://schemas.openxmlformats.org/officeDocument/2006/relationships/hyperlink" Target="http://www.lunet.edu/" TargetMode="External"/><Relationship Id="rId928" Type="http://schemas.openxmlformats.org/officeDocument/2006/relationships/hyperlink" Target="http://www.marymount.edu/" TargetMode="External"/><Relationship Id="rId1460" Type="http://schemas.openxmlformats.org/officeDocument/2006/relationships/hyperlink" Target="http://www.binghamton.edu/" TargetMode="External"/><Relationship Id="rId1558" Type="http://schemas.openxmlformats.org/officeDocument/2006/relationships/hyperlink" Target="http://www.pcpm.edu/" TargetMode="External"/><Relationship Id="rId1765" Type="http://schemas.openxmlformats.org/officeDocument/2006/relationships/hyperlink" Target="http://www.umd.edu/" TargetMode="External"/><Relationship Id="rId57" Type="http://schemas.openxmlformats.org/officeDocument/2006/relationships/hyperlink" Target="http://www.antioch.edu/" TargetMode="External"/><Relationship Id="rId262" Type="http://schemas.openxmlformats.org/officeDocument/2006/relationships/hyperlink" Target="http://www.cameron.edu/" TargetMode="External"/><Relationship Id="rId567" Type="http://schemas.openxmlformats.org/officeDocument/2006/relationships/hyperlink" Target="http://www.fmu.edu/762/f-762.htm" TargetMode="External"/><Relationship Id="rId1113" Type="http://schemas.openxmlformats.org/officeDocument/2006/relationships/hyperlink" Target="http://www.ncbc.edu/" TargetMode="External"/><Relationship Id="rId1197" Type="http://schemas.openxmlformats.org/officeDocument/2006/relationships/hyperlink" Target="http://www.ottawa.edu/" TargetMode="External"/><Relationship Id="rId1320" Type="http://schemas.openxmlformats.org/officeDocument/2006/relationships/hyperlink" Target="http://www.rsu.edu/" TargetMode="External"/><Relationship Id="rId1418" Type="http://schemas.openxmlformats.org/officeDocument/2006/relationships/hyperlink" Target="http://www.snu.edu/" TargetMode="External"/><Relationship Id="rId1972" Type="http://schemas.openxmlformats.org/officeDocument/2006/relationships/hyperlink" Target="http://www.vancouver.wsu.edu/" TargetMode="External"/><Relationship Id="rId122" Type="http://schemas.openxmlformats.org/officeDocument/2006/relationships/hyperlink" Target="http://www.bhu.edu/" TargetMode="External"/><Relationship Id="rId774" Type="http://schemas.openxmlformats.org/officeDocument/2006/relationships/hyperlink" Target="http://www.jwu.edu/charles/camp_charles.htm" TargetMode="External"/><Relationship Id="rId981" Type="http://schemas.openxmlformats.org/officeDocument/2006/relationships/hyperlink" Target="http://www.mlc.edu/" TargetMode="External"/><Relationship Id="rId1057" Type="http://schemas.openxmlformats.org/officeDocument/2006/relationships/hyperlink" Target="http://www.national.edu/col_springs.html" TargetMode="External"/><Relationship Id="rId1625" Type="http://schemas.openxmlformats.org/officeDocument/2006/relationships/hyperlink" Target="http://www.tougaloo.edu/" TargetMode="External"/><Relationship Id="rId1832" Type="http://schemas.openxmlformats.org/officeDocument/2006/relationships/hyperlink" Target="http://www.upenn.edu/" TargetMode="External"/><Relationship Id="rId2010" Type="http://schemas.openxmlformats.org/officeDocument/2006/relationships/hyperlink" Target="http://www.wsulaw.edu/" TargetMode="External"/><Relationship Id="rId427" Type="http://schemas.openxmlformats.org/officeDocument/2006/relationships/hyperlink" Target="http://www.creighton.edu/" TargetMode="External"/><Relationship Id="rId634" Type="http://schemas.openxmlformats.org/officeDocument/2006/relationships/hyperlink" Target="http://www.gbcol.edu/" TargetMode="External"/><Relationship Id="rId841" Type="http://schemas.openxmlformats.org/officeDocument/2006/relationships/hyperlink" Target="http://www.lehigh.edu/" TargetMode="External"/><Relationship Id="rId1264" Type="http://schemas.openxmlformats.org/officeDocument/2006/relationships/hyperlink" Target="http://www.pratt.edu/" TargetMode="External"/><Relationship Id="rId1471" Type="http://schemas.openxmlformats.org/officeDocument/2006/relationships/hyperlink" Target="http://www.plattsburgh.edu/" TargetMode="External"/><Relationship Id="rId1569" Type="http://schemas.openxmlformats.org/officeDocument/2006/relationships/hyperlink" Target="http://www.tamut.edu/" TargetMode="External"/><Relationship Id="rId273" Type="http://schemas.openxmlformats.org/officeDocument/2006/relationships/hyperlink" Target="http://www.carlow.edu/" TargetMode="External"/><Relationship Id="rId480" Type="http://schemas.openxmlformats.org/officeDocument/2006/relationships/hyperlink" Target="http://www.dominican.edu/" TargetMode="External"/><Relationship Id="rId701" Type="http://schemas.openxmlformats.org/officeDocument/2006/relationships/hyperlink" Target="http://www.hbu.edu/" TargetMode="External"/><Relationship Id="rId939" Type="http://schemas.openxmlformats.org/officeDocument/2006/relationships/hyperlink" Target="http://www.mayo.edu/mgs/gs.html" TargetMode="External"/><Relationship Id="rId1124" Type="http://schemas.openxmlformats.org/officeDocument/2006/relationships/hyperlink" Target="http://www.nmu.edu/" TargetMode="External"/><Relationship Id="rId1331" Type="http://schemas.openxmlformats.org/officeDocument/2006/relationships/hyperlink" Target="http://www.rutgers.edu/" TargetMode="External"/><Relationship Id="rId1776" Type="http://schemas.openxmlformats.org/officeDocument/2006/relationships/hyperlink" Target="http://www.massachusetts.edu/" TargetMode="External"/><Relationship Id="rId1983" Type="http://schemas.openxmlformats.org/officeDocument/2006/relationships/hyperlink" Target="http://www.med.cornell.edu/" TargetMode="External"/><Relationship Id="rId68" Type="http://schemas.openxmlformats.org/officeDocument/2006/relationships/hyperlink" Target="http://www.asu.edu/" TargetMode="External"/><Relationship Id="rId133" Type="http://schemas.openxmlformats.org/officeDocument/2006/relationships/hyperlink" Target="http://www.barry.edu/" TargetMode="External"/><Relationship Id="rId340" Type="http://schemas.openxmlformats.org/officeDocument/2006/relationships/hyperlink" Target="http://www.clarku.edu/" TargetMode="External"/><Relationship Id="rId578" Type="http://schemas.openxmlformats.org/officeDocument/2006/relationships/hyperlink" Target="http://www.fortlewis.edu/" TargetMode="External"/><Relationship Id="rId785" Type="http://schemas.openxmlformats.org/officeDocument/2006/relationships/hyperlink" Target="http://www.kwu.edu/" TargetMode="External"/><Relationship Id="rId992" Type="http://schemas.openxmlformats.org/officeDocument/2006/relationships/hyperlink" Target="http://www.mgu.edu/" TargetMode="External"/><Relationship Id="rId1429" Type="http://schemas.openxmlformats.org/officeDocument/2006/relationships/hyperlink" Target="http://www.stcl.edu/" TargetMode="External"/><Relationship Id="rId1636" Type="http://schemas.openxmlformats.org/officeDocument/2006/relationships/hyperlink" Target="http://www.trinitycollege.edu/" TargetMode="External"/><Relationship Id="rId1843" Type="http://schemas.openxmlformats.org/officeDocument/2006/relationships/hyperlink" Target="http://www.urgrgcc.edu/" TargetMode="External"/><Relationship Id="rId2021" Type="http://schemas.openxmlformats.org/officeDocument/2006/relationships/hyperlink" Target="http://www.wvsc.edu/" TargetMode="External"/><Relationship Id="rId200" Type="http://schemas.openxmlformats.org/officeDocument/2006/relationships/hyperlink" Target="http://www.bpc.edu/" TargetMode="External"/><Relationship Id="rId438" Type="http://schemas.openxmlformats.org/officeDocument/2006/relationships/hyperlink" Target="http://www.dallas.edu/" TargetMode="External"/><Relationship Id="rId645" Type="http://schemas.openxmlformats.org/officeDocument/2006/relationships/hyperlink" Target="http://www.glcc.edu/" TargetMode="External"/><Relationship Id="rId852" Type="http://schemas.openxmlformats.org/officeDocument/2006/relationships/hyperlink" Target="http://www.lifewest.edu/" TargetMode="External"/><Relationship Id="rId1068" Type="http://schemas.openxmlformats.org/officeDocument/2006/relationships/hyperlink" Target="http://www.denvercenter.org/education/ed_ntc.htm" TargetMode="External"/><Relationship Id="rId1275" Type="http://schemas.openxmlformats.org/officeDocument/2006/relationships/hyperlink" Target="http://www.qvius.edu/" TargetMode="External"/><Relationship Id="rId1482" Type="http://schemas.openxmlformats.org/officeDocument/2006/relationships/hyperlink" Target="http://www.sunyit.edu/" TargetMode="External"/><Relationship Id="rId1703" Type="http://schemas.openxmlformats.org/officeDocument/2006/relationships/hyperlink" Target="http://www.ucmo.edu/" TargetMode="External"/><Relationship Id="rId1910" Type="http://schemas.openxmlformats.org/officeDocument/2006/relationships/hyperlink" Target="http://www.uwgb.edu/" TargetMode="External"/><Relationship Id="rId284" Type="http://schemas.openxmlformats.org/officeDocument/2006/relationships/hyperlink" Target="http://www.cedarville.edu/" TargetMode="External"/><Relationship Id="rId491" Type="http://schemas.openxmlformats.org/officeDocument/2006/relationships/hyperlink" Target="http://www.dbumn.edu/" TargetMode="External"/><Relationship Id="rId505" Type="http://schemas.openxmlformats.org/officeDocument/2006/relationships/hyperlink" Target="http://www.enc.edu/" TargetMode="External"/><Relationship Id="rId712" Type="http://schemas.openxmlformats.org/officeDocument/2006/relationships/hyperlink" Target="http://www.isu.edu/" TargetMode="External"/><Relationship Id="rId1135" Type="http://schemas.openxmlformats.org/officeDocument/2006/relationships/hyperlink" Target="http://www.nwchiro.edu/" TargetMode="External"/><Relationship Id="rId1342" Type="http://schemas.openxmlformats.org/officeDocument/2006/relationships/hyperlink" Target="http://www.salve.edu/" TargetMode="External"/><Relationship Id="rId1787" Type="http://schemas.openxmlformats.org/officeDocument/2006/relationships/hyperlink" Target="http://www.olemiss.edu/" TargetMode="External"/><Relationship Id="rId1994" Type="http://schemas.openxmlformats.org/officeDocument/2006/relationships/hyperlink" Target="http://www.wbc.edu/" TargetMode="External"/><Relationship Id="rId79" Type="http://schemas.openxmlformats.org/officeDocument/2006/relationships/hyperlink" Target="http://www.armstrong.edu/" TargetMode="External"/><Relationship Id="rId144" Type="http://schemas.openxmlformats.org/officeDocument/2006/relationships/hyperlink" Target="http://www.bellevue.edu/" TargetMode="External"/><Relationship Id="rId589" Type="http://schemas.openxmlformats.org/officeDocument/2006/relationships/hyperlink" Target="http://www.olin.edu/" TargetMode="External"/><Relationship Id="rId796" Type="http://schemas.openxmlformats.org/officeDocument/2006/relationships/hyperlink" Target="http://www.ashtabula.kent.edu/" TargetMode="External"/><Relationship Id="rId1202" Type="http://schemas.openxmlformats.org/officeDocument/2006/relationships/hyperlink" Target="http://www.occ.edu/" TargetMode="External"/><Relationship Id="rId1647" Type="http://schemas.openxmlformats.org/officeDocument/2006/relationships/hyperlink" Target="http://phenix.troy.edu/" TargetMode="External"/><Relationship Id="rId1854" Type="http://schemas.openxmlformats.org/officeDocument/2006/relationships/hyperlink" Target="http://www.sc.edu/lancaster/" TargetMode="External"/><Relationship Id="rId351" Type="http://schemas.openxmlformats.org/officeDocument/2006/relationships/hyperlink" Target="http://www.coe.edu/" TargetMode="External"/><Relationship Id="rId449" Type="http://schemas.openxmlformats.org/officeDocument/2006/relationships/hyperlink" Target="http://www.deaconess.edu/" TargetMode="External"/><Relationship Id="rId656" Type="http://schemas.openxmlformats.org/officeDocument/2006/relationships/hyperlink" Target="http://www.vca1.com/hamiltontech/" TargetMode="External"/><Relationship Id="rId863" Type="http://schemas.openxmlformats.org/officeDocument/2006/relationships/hyperlink" Target="http://www.livingstone.edu/" TargetMode="External"/><Relationship Id="rId1079" Type="http://schemas.openxmlformats.org/officeDocument/2006/relationships/hyperlink" Target="http://www.ncf.edu/" TargetMode="External"/><Relationship Id="rId1286" Type="http://schemas.openxmlformats.org/officeDocument/2006/relationships/hyperlink" Target="http://www.rasmussen.edu/locations/illinois/" TargetMode="External"/><Relationship Id="rId1493" Type="http://schemas.openxmlformats.org/officeDocument/2006/relationships/hyperlink" Target="http://www.stefan-university.edu/" TargetMode="External"/><Relationship Id="rId1507" Type="http://schemas.openxmlformats.org/officeDocument/2006/relationships/hyperlink" Target="http://www.sjcsf.edu/" TargetMode="External"/><Relationship Id="rId1714" Type="http://schemas.openxmlformats.org/officeDocument/2006/relationships/hyperlink" Target="http://www.uconn.edu/" TargetMode="External"/><Relationship Id="rId2032" Type="http://schemas.openxmlformats.org/officeDocument/2006/relationships/hyperlink" Target="http://www.twsu.edu/" TargetMode="External"/><Relationship Id="rId211" Type="http://schemas.openxmlformats.org/officeDocument/2006/relationships/hyperlink" Target="http://www.brunswickcc.edu/" TargetMode="External"/><Relationship Id="rId295" Type="http://schemas.openxmlformats.org/officeDocument/2006/relationships/hyperlink" Target="http://www.centralstate.edu/" TargetMode="External"/><Relationship Id="rId309" Type="http://schemas.openxmlformats.org/officeDocument/2006/relationships/hyperlink" Target="http://www.chowan.edu/" TargetMode="External"/><Relationship Id="rId516" Type="http://schemas.openxmlformats.org/officeDocument/2006/relationships/hyperlink" Target="http://www.edinboro.edu/" TargetMode="External"/><Relationship Id="rId1146" Type="http://schemas.openxmlformats.org/officeDocument/2006/relationships/hyperlink" Target="http://www.norwich.edu/" TargetMode="External"/><Relationship Id="rId1798" Type="http://schemas.openxmlformats.org/officeDocument/2006/relationships/hyperlink" Target="http://www.unmc.edu/" TargetMode="External"/><Relationship Id="rId1921" Type="http://schemas.openxmlformats.org/officeDocument/2006/relationships/hyperlink" Target="http://www.uww.edu/" TargetMode="External"/><Relationship Id="rId723" Type="http://schemas.openxmlformats.org/officeDocument/2006/relationships/hyperlink" Target="http://www.immaculata.edu/" TargetMode="External"/><Relationship Id="rId930" Type="http://schemas.openxmlformats.org/officeDocument/2006/relationships/hyperlink" Target="http://www.maryvillestl.edu/" TargetMode="External"/><Relationship Id="rId1006" Type="http://schemas.openxmlformats.org/officeDocument/2006/relationships/hyperlink" Target="http://www.mst.edu/" TargetMode="External"/><Relationship Id="rId1353" Type="http://schemas.openxmlformats.org/officeDocument/2006/relationships/hyperlink" Target="http://www.sjchristiancol.edu/" TargetMode="External"/><Relationship Id="rId1560" Type="http://schemas.openxmlformats.org/officeDocument/2006/relationships/hyperlink" Target="http://www.tntech.edu/" TargetMode="External"/><Relationship Id="rId1658" Type="http://schemas.openxmlformats.org/officeDocument/2006/relationships/hyperlink" Target="http://www.ucollege.edu/" TargetMode="External"/><Relationship Id="rId1865" Type="http://schemas.openxmlformats.org/officeDocument/2006/relationships/hyperlink" Target="http://www.stfrancis.edu/" TargetMode="External"/><Relationship Id="rId155" Type="http://schemas.openxmlformats.org/officeDocument/2006/relationships/hyperlink" Target="http://www.bennington.edu/" TargetMode="External"/><Relationship Id="rId362" Type="http://schemas.openxmlformats.org/officeDocument/2006/relationships/hyperlink" Target="http://www.cll.edu/" TargetMode="External"/><Relationship Id="rId1213" Type="http://schemas.openxmlformats.org/officeDocument/2006/relationships/hyperlink" Target="http://www.paierart.com/" TargetMode="External"/><Relationship Id="rId1297" Type="http://schemas.openxmlformats.org/officeDocument/2006/relationships/hyperlink" Target="http://www.rpi.edu/" TargetMode="External"/><Relationship Id="rId1420" Type="http://schemas.openxmlformats.org/officeDocument/2006/relationships/hyperlink" Target="http://www.sou.edu/" TargetMode="External"/><Relationship Id="rId1518" Type="http://schemas.openxmlformats.org/officeDocument/2006/relationships/hyperlink" Target="http://www.saintleo.edu/" TargetMode="External"/><Relationship Id="rId2043" Type="http://schemas.openxmlformats.org/officeDocument/2006/relationships/hyperlink" Target="http://www.wmpenn.edu/" TargetMode="External"/><Relationship Id="rId222" Type="http://schemas.openxmlformats.org/officeDocument/2006/relationships/hyperlink" Target="http://www.caldwell.edu/" TargetMode="External"/><Relationship Id="rId667" Type="http://schemas.openxmlformats.org/officeDocument/2006/relationships/hyperlink" Target="http://www.interiordesign.edu/" TargetMode="External"/><Relationship Id="rId874" Type="http://schemas.openxmlformats.org/officeDocument/2006/relationships/hyperlink" Target="http://www.lacollege.edu/" TargetMode="External"/><Relationship Id="rId1725" Type="http://schemas.openxmlformats.org/officeDocument/2006/relationships/hyperlink" Target="http://www.dbq.edu/" TargetMode="External"/><Relationship Id="rId1932" Type="http://schemas.openxmlformats.org/officeDocument/2006/relationships/hyperlink" Target="http://www.vfcc.edu/" TargetMode="External"/><Relationship Id="rId17" Type="http://schemas.openxmlformats.org/officeDocument/2006/relationships/hyperlink" Target="http://www.albright.edu/" TargetMode="External"/><Relationship Id="rId527" Type="http://schemas.openxmlformats.org/officeDocument/2006/relationships/hyperlink" Target="http://www.emerson.edu/" TargetMode="External"/><Relationship Id="rId734" Type="http://schemas.openxmlformats.org/officeDocument/2006/relationships/hyperlink" Target="http://www.ipfw.edu/" TargetMode="External"/><Relationship Id="rId941" Type="http://schemas.openxmlformats.org/officeDocument/2006/relationships/hyperlink" Target="http://www.masu.nodak.edu/" TargetMode="External"/><Relationship Id="rId1157" Type="http://schemas.openxmlformats.org/officeDocument/2006/relationships/hyperlink" Target="http://www.oxy.edu/" TargetMode="External"/><Relationship Id="rId1364" Type="http://schemas.openxmlformats.org/officeDocument/2006/relationships/hyperlink" Target="http://www.schoolofvisualarts.edu/" TargetMode="External"/><Relationship Id="rId1571" Type="http://schemas.openxmlformats.org/officeDocument/2006/relationships/hyperlink" Target="http://www.tcu.edu/" TargetMode="External"/><Relationship Id="rId70" Type="http://schemas.openxmlformats.org/officeDocument/2006/relationships/hyperlink" Target="https://campus.asu.edu/polytechnic" TargetMode="External"/><Relationship Id="rId166" Type="http://schemas.openxmlformats.org/officeDocument/2006/relationships/hyperlink" Target="http://www.bethel-in.edu/" TargetMode="External"/><Relationship Id="rId373" Type="http://schemas.openxmlformats.org/officeDocument/2006/relationships/hyperlink" Target="http://www.westernu.edu/comp.html" TargetMode="External"/><Relationship Id="rId580" Type="http://schemas.openxmlformats.org/officeDocument/2006/relationships/hyperlink" Target="http://www.framingham.edu/" TargetMode="External"/><Relationship Id="rId801" Type="http://schemas.openxmlformats.org/officeDocument/2006/relationships/hyperlink" Target="http://www.tusc.kent.edu/" TargetMode="External"/><Relationship Id="rId1017" Type="http://schemas.openxmlformats.org/officeDocument/2006/relationships/hyperlink" Target="http://www.montreat.edu/" TargetMode="External"/><Relationship Id="rId1224" Type="http://schemas.openxmlformats.org/officeDocument/2006/relationships/hyperlink" Target="http://www.pafa.org/" TargetMode="External"/><Relationship Id="rId1431" Type="http://schemas.openxmlformats.org/officeDocument/2006/relationships/hyperlink" Target="http://www.swau.edu/" TargetMode="External"/><Relationship Id="rId1669" Type="http://schemas.openxmlformats.org/officeDocument/2006/relationships/hyperlink" Target="http://www.uat.edu/" TargetMode="External"/><Relationship Id="rId1876" Type="http://schemas.openxmlformats.org/officeDocument/2006/relationships/hyperlink" Target="http://www.utexas.edu/" TargetMode="External"/><Relationship Id="rId2054" Type="http://schemas.openxmlformats.org/officeDocument/2006/relationships/hyperlink" Target="http://www.winthrop.edu/" TargetMode="External"/><Relationship Id="rId1" Type="http://schemas.openxmlformats.org/officeDocument/2006/relationships/hyperlink" Target="http://www.adams.edu/" TargetMode="External"/><Relationship Id="rId233" Type="http://schemas.openxmlformats.org/officeDocument/2006/relationships/hyperlink" Target="http://www.csum.edu/" TargetMode="External"/><Relationship Id="rId440" Type="http://schemas.openxmlformats.org/officeDocument/2006/relationships/hyperlink" Target="http://www.dwc.edu/" TargetMode="External"/><Relationship Id="rId678" Type="http://schemas.openxmlformats.org/officeDocument/2006/relationships/hyperlink" Target="http://www.hebrewcollege.edu/" TargetMode="External"/><Relationship Id="rId885" Type="http://schemas.openxmlformats.org/officeDocument/2006/relationships/hyperlink" Target="http://www.luc.edu/" TargetMode="External"/><Relationship Id="rId1070" Type="http://schemas.openxmlformats.org/officeDocument/2006/relationships/hyperlink" Target="http://www.nps.navy.mil/" TargetMode="External"/><Relationship Id="rId1529" Type="http://schemas.openxmlformats.org/officeDocument/2006/relationships/hyperlink" Target="http://www.smumn.edu/" TargetMode="External"/><Relationship Id="rId1736" Type="http://schemas.openxmlformats.org/officeDocument/2006/relationships/hyperlink" Target="http://www.uhs.edu/" TargetMode="External"/><Relationship Id="rId1943" Type="http://schemas.openxmlformats.org/officeDocument/2006/relationships/hyperlink" Target="http://www.vc.edu/" TargetMode="External"/><Relationship Id="rId28" Type="http://schemas.openxmlformats.org/officeDocument/2006/relationships/hyperlink" Target="http://www.ambassador.edu/" TargetMode="External"/><Relationship Id="rId300" Type="http://schemas.openxmlformats.org/officeDocument/2006/relationships/hyperlink" Target="http://www.champlain.edu/" TargetMode="External"/><Relationship Id="rId538" Type="http://schemas.openxmlformats.org/officeDocument/2006/relationships/hyperlink" Target="http://www.evergreen.edu/" TargetMode="External"/><Relationship Id="rId745" Type="http://schemas.openxmlformats.org/officeDocument/2006/relationships/hyperlink" Target="http://www.academy.edu/" TargetMode="External"/><Relationship Id="rId952" Type="http://schemas.openxmlformats.org/officeDocument/2006/relationships/hyperlink" Target="http://www.musc.edu/" TargetMode="External"/><Relationship Id="rId1168" Type="http://schemas.openxmlformats.org/officeDocument/2006/relationships/hyperlink" Target="http://www.ohiou.edu/" TargetMode="External"/><Relationship Id="rId1375" Type="http://schemas.openxmlformats.org/officeDocument/2006/relationships/hyperlink" Target="http://www.su.edu/" TargetMode="External"/><Relationship Id="rId1582" Type="http://schemas.openxmlformats.org/officeDocument/2006/relationships/hyperlink" Target="http://www.aipd.aii.edu/" TargetMode="External"/><Relationship Id="rId1803" Type="http://schemas.openxmlformats.org/officeDocument/2006/relationships/hyperlink" Target="http://www.une.edu/" TargetMode="External"/><Relationship Id="rId81" Type="http://schemas.openxmlformats.org/officeDocument/2006/relationships/hyperlink" Target="http://www.artacademy.edu/" TargetMode="External"/><Relationship Id="rId177" Type="http://schemas.openxmlformats.org/officeDocument/2006/relationships/hyperlink" Target="http://www.bloomfield.edu/" TargetMode="External"/><Relationship Id="rId384" Type="http://schemas.openxmlformats.org/officeDocument/2006/relationships/hyperlink" Target="http://www.cva.edu/" TargetMode="External"/><Relationship Id="rId591" Type="http://schemas.openxmlformats.org/officeDocument/2006/relationships/hyperlink" Target="http://www.fhcrc.org/" TargetMode="External"/><Relationship Id="rId605" Type="http://schemas.openxmlformats.org/officeDocument/2006/relationships/hyperlink" Target="http://www.geneva.edu/" TargetMode="External"/><Relationship Id="rId812" Type="http://schemas.openxmlformats.org/officeDocument/2006/relationships/hyperlink" Target="http://www.knox.edu/" TargetMode="External"/><Relationship Id="rId1028" Type="http://schemas.openxmlformats.org/officeDocument/2006/relationships/hyperlink" Target="http://www.morningside.edu/" TargetMode="External"/><Relationship Id="rId1235" Type="http://schemas.openxmlformats.org/officeDocument/2006/relationships/hyperlink" Target="http://www.an.psu.edu/" TargetMode="External"/><Relationship Id="rId1442" Type="http://schemas.openxmlformats.org/officeDocument/2006/relationships/hyperlink" Target="http://www.wp.smsu.edu/" TargetMode="External"/><Relationship Id="rId1887" Type="http://schemas.openxmlformats.org/officeDocument/2006/relationships/hyperlink" Target="http://www.utpb.edu/" TargetMode="External"/><Relationship Id="rId2065" Type="http://schemas.openxmlformats.org/officeDocument/2006/relationships/hyperlink" Target="http://www.xula.edu/" TargetMode="External"/><Relationship Id="rId244" Type="http://schemas.openxmlformats.org/officeDocument/2006/relationships/hyperlink" Target="http://www.csufresno.edu/" TargetMode="External"/><Relationship Id="rId689" Type="http://schemas.openxmlformats.org/officeDocument/2006/relationships/hyperlink" Target="http://www.hsbc.edu/" TargetMode="External"/><Relationship Id="rId896" Type="http://schemas.openxmlformats.org/officeDocument/2006/relationships/hyperlink" Target="http://www.maconstate.edu/" TargetMode="External"/><Relationship Id="rId1081" Type="http://schemas.openxmlformats.org/officeDocument/2006/relationships/hyperlink" Target="http://www.ne-optometry.edu/" TargetMode="External"/><Relationship Id="rId1302" Type="http://schemas.openxmlformats.org/officeDocument/2006/relationships/hyperlink" Target="http://www.rice.edu/" TargetMode="External"/><Relationship Id="rId1747" Type="http://schemas.openxmlformats.org/officeDocument/2006/relationships/hyperlink" Target="http://www.uiowa.edu/" TargetMode="External"/><Relationship Id="rId1954" Type="http://schemas.openxmlformats.org/officeDocument/2006/relationships/hyperlink" Target="http://www.wabash.edu/" TargetMode="External"/><Relationship Id="rId39" Type="http://schemas.openxmlformats.org/officeDocument/2006/relationships/hyperlink" Target="http://www.aiuniv.edu/" TargetMode="External"/><Relationship Id="rId451" Type="http://schemas.openxmlformats.org/officeDocument/2006/relationships/hyperlink" Target="http://www.devalcol.edu/" TargetMode="External"/><Relationship Id="rId549" Type="http://schemas.openxmlformats.org/officeDocument/2006/relationships/hyperlink" Target="http://www.ferris.edu/" TargetMode="External"/><Relationship Id="rId756" Type="http://schemas.openxmlformats.org/officeDocument/2006/relationships/hyperlink" Target="http://www.itttech.edu/campus/" TargetMode="External"/><Relationship Id="rId1179" Type="http://schemas.openxmlformats.org/officeDocument/2006/relationships/hyperlink" Target="http://www.opsu.edu/" TargetMode="External"/><Relationship Id="rId1386" Type="http://schemas.openxmlformats.org/officeDocument/2006/relationships/hyperlink" Target="http://www.simmons.edu/" TargetMode="External"/><Relationship Id="rId1593" Type="http://schemas.openxmlformats.org/officeDocument/2006/relationships/hyperlink" Target="http://www.cooper.edu/" TargetMode="External"/><Relationship Id="rId1607" Type="http://schemas.openxmlformats.org/officeDocument/2006/relationships/hyperlink" Target="http://www.rockefeller.edu/" TargetMode="External"/><Relationship Id="rId1814" Type="http://schemas.openxmlformats.org/officeDocument/2006/relationships/hyperlink" Target="http://www.uncc.edu/" TargetMode="External"/><Relationship Id="rId104" Type="http://schemas.openxmlformats.org/officeDocument/2006/relationships/hyperlink" Target="http://www.austinc.edu/" TargetMode="External"/><Relationship Id="rId188" Type="http://schemas.openxmlformats.org/officeDocument/2006/relationships/hyperlink" Target="http://www.bc.edu/" TargetMode="External"/><Relationship Id="rId311" Type="http://schemas.openxmlformats.org/officeDocument/2006/relationships/hyperlink" Target="http://www.cbu.edu/" TargetMode="External"/><Relationship Id="rId395" Type="http://schemas.openxmlformats.org/officeDocument/2006/relationships/hyperlink" Target="http://www.colacoll.edu/" TargetMode="External"/><Relationship Id="rId409" Type="http://schemas.openxmlformats.org/officeDocument/2006/relationships/hyperlink" Target="http://higher-ed.lcms.org/selma.htm" TargetMode="External"/><Relationship Id="rId963" Type="http://schemas.openxmlformats.org/officeDocument/2006/relationships/hyperlink" Target="http://www.mesastate.edu/" TargetMode="External"/><Relationship Id="rId1039" Type="http://schemas.openxmlformats.org/officeDocument/2006/relationships/hyperlink" Target="http://www.mtmercy.edu/" TargetMode="External"/><Relationship Id="rId1246" Type="http://schemas.openxmlformats.org/officeDocument/2006/relationships/hyperlink" Target="http://www.phillips.edu/" TargetMode="External"/><Relationship Id="rId1898" Type="http://schemas.openxmlformats.org/officeDocument/2006/relationships/hyperlink" Target="http://www.utoledo.edu/" TargetMode="External"/><Relationship Id="rId92" Type="http://schemas.openxmlformats.org/officeDocument/2006/relationships/hyperlink" Target="http://www.aca.edu/" TargetMode="External"/><Relationship Id="rId616" Type="http://schemas.openxmlformats.org/officeDocument/2006/relationships/hyperlink" Target="http://www.georgian.edu/" TargetMode="External"/><Relationship Id="rId823" Type="http://schemas.openxmlformats.org/officeDocument/2006/relationships/hyperlink" Target="http://www.lakeviewcol.edu/" TargetMode="External"/><Relationship Id="rId1453" Type="http://schemas.openxmlformats.org/officeDocument/2006/relationships/hyperlink" Target="http://www.standford-university.cjb.net/" TargetMode="External"/><Relationship Id="rId1660" Type="http://schemas.openxmlformats.org/officeDocument/2006/relationships/hyperlink" Target="http://www.uu.edu/" TargetMode="External"/><Relationship Id="rId1758" Type="http://schemas.openxmlformats.org/officeDocument/2006/relationships/hyperlink" Target="http://www.umaine.edu/" TargetMode="External"/><Relationship Id="rId255" Type="http://schemas.openxmlformats.org/officeDocument/2006/relationships/hyperlink" Target="http://cauniversity.edu.cufce.org/" TargetMode="External"/><Relationship Id="rId462" Type="http://schemas.openxmlformats.org/officeDocument/2006/relationships/hyperlink" Target="http://www.davenport.edu/e3front.dll?durki=1283" TargetMode="External"/><Relationship Id="rId1092" Type="http://schemas.openxmlformats.org/officeDocument/2006/relationships/hyperlink" Target="http://www.nmt.edu/" TargetMode="External"/><Relationship Id="rId1106" Type="http://schemas.openxmlformats.org/officeDocument/2006/relationships/hyperlink" Target="http://www.nichols.edu/" TargetMode="External"/><Relationship Id="rId1313" Type="http://schemas.openxmlformats.org/officeDocument/2006/relationships/hyperlink" Target="http://www.rc.edu/" TargetMode="External"/><Relationship Id="rId1397" Type="http://schemas.openxmlformats.org/officeDocument/2006/relationships/hyperlink" Target="http://www.sonoma.edu/" TargetMode="External"/><Relationship Id="rId1520" Type="http://schemas.openxmlformats.org/officeDocument/2006/relationships/hyperlink" Target="http://www.stlcop.edu/" TargetMode="External"/><Relationship Id="rId1965" Type="http://schemas.openxmlformats.org/officeDocument/2006/relationships/hyperlink" Target="http://www.washburn.edu/" TargetMode="External"/><Relationship Id="rId115" Type="http://schemas.openxmlformats.org/officeDocument/2006/relationships/hyperlink" Target="http://www.baker.edu/visit/mtclemens.html" TargetMode="External"/><Relationship Id="rId322" Type="http://schemas.openxmlformats.org/officeDocument/2006/relationships/hyperlink" Target="http://www.hunter.cuny.edu/" TargetMode="External"/><Relationship Id="rId767" Type="http://schemas.openxmlformats.org/officeDocument/2006/relationships/hyperlink" Target="http://www.jpcatholic.com/" TargetMode="External"/><Relationship Id="rId974" Type="http://schemas.openxmlformats.org/officeDocument/2006/relationships/hyperlink" Target="http://www.msu.edu/" TargetMode="External"/><Relationship Id="rId1618" Type="http://schemas.openxmlformats.org/officeDocument/2006/relationships/hyperlink" Target="http://www.thomasmore.edu/" TargetMode="External"/><Relationship Id="rId1825" Type="http://schemas.openxmlformats.org/officeDocument/2006/relationships/hyperlink" Target="http://www.hsc.unt.edu/" TargetMode="External"/><Relationship Id="rId2003" Type="http://schemas.openxmlformats.org/officeDocument/2006/relationships/hyperlink" Target="http://www.wmich.edu/" TargetMode="External"/><Relationship Id="rId199" Type="http://schemas.openxmlformats.org/officeDocument/2006/relationships/hyperlink" Target="http://www.brevard.edu/" TargetMode="External"/><Relationship Id="rId627" Type="http://schemas.openxmlformats.org/officeDocument/2006/relationships/hyperlink" Target="http://goldey.gbc.edu/" TargetMode="External"/><Relationship Id="rId834" Type="http://schemas.openxmlformats.org/officeDocument/2006/relationships/hyperlink" Target="http://www.lasierra.edu/" TargetMode="External"/><Relationship Id="rId1257" Type="http://schemas.openxmlformats.org/officeDocument/2006/relationships/hyperlink" Target="http://www.poly.edu/li/" TargetMode="External"/><Relationship Id="rId1464" Type="http://schemas.openxmlformats.org/officeDocument/2006/relationships/hyperlink" Target="http://www.sunysb.edu/" TargetMode="External"/><Relationship Id="rId1671" Type="http://schemas.openxmlformats.org/officeDocument/2006/relationships/hyperlink" Target="http://www.uab.edu/" TargetMode="External"/><Relationship Id="rId266" Type="http://schemas.openxmlformats.org/officeDocument/2006/relationships/hyperlink" Target="http://www.capella.edu/" TargetMode="External"/><Relationship Id="rId473" Type="http://schemas.openxmlformats.org/officeDocument/2006/relationships/hyperlink" Target="http://www.dickinson.edu/" TargetMode="External"/><Relationship Id="rId680" Type="http://schemas.openxmlformats.org/officeDocument/2006/relationships/hyperlink" Target="http://www.hsu.edu/" TargetMode="External"/><Relationship Id="rId901" Type="http://schemas.openxmlformats.org/officeDocument/2006/relationships/hyperlink" Target="http://www.mainemaritime.edu/" TargetMode="External"/><Relationship Id="rId1117" Type="http://schemas.openxmlformats.org/officeDocument/2006/relationships/hyperlink" Target="http://www.neiu.edu/" TargetMode="External"/><Relationship Id="rId1324" Type="http://schemas.openxmlformats.org/officeDocument/2006/relationships/hyperlink" Target="http://www.rose-hulman.edu/" TargetMode="External"/><Relationship Id="rId1531" Type="http://schemas.openxmlformats.org/officeDocument/2006/relationships/hyperlink" Target="http://www.saintmeinrad.edu/" TargetMode="External"/><Relationship Id="rId1769" Type="http://schemas.openxmlformats.org/officeDocument/2006/relationships/hyperlink" Target="http://www.ums.edu/" TargetMode="External"/><Relationship Id="rId1976" Type="http://schemas.openxmlformats.org/officeDocument/2006/relationships/hyperlink" Target="http://www.wsc.edu/" TargetMode="External"/><Relationship Id="rId30" Type="http://schemas.openxmlformats.org/officeDocument/2006/relationships/hyperlink" Target="http://www.nutritioneducation.com/" TargetMode="External"/><Relationship Id="rId126" Type="http://schemas.openxmlformats.org/officeDocument/2006/relationships/hyperlink" Target="http://www.bbc.edu/" TargetMode="External"/><Relationship Id="rId333" Type="http://schemas.openxmlformats.org/officeDocument/2006/relationships/hyperlink" Target="http://www.claremontlincoln.org/" TargetMode="External"/><Relationship Id="rId540" Type="http://schemas.openxmlformats.org/officeDocument/2006/relationships/hyperlink" Target="http://www.regents.edu/" TargetMode="External"/><Relationship Id="rId778" Type="http://schemas.openxmlformats.org/officeDocument/2006/relationships/hyperlink" Target="http://www.judson-il.edu/" TargetMode="External"/><Relationship Id="rId985" Type="http://schemas.openxmlformats.org/officeDocument/2006/relationships/hyperlink" Target="http://www.miles.edu/" TargetMode="External"/><Relationship Id="rId1170" Type="http://schemas.openxmlformats.org/officeDocument/2006/relationships/hyperlink" Target="http://www.eastern.ohiou.edu/" TargetMode="External"/><Relationship Id="rId1629" Type="http://schemas.openxmlformats.org/officeDocument/2006/relationships/hyperlink" Target="http://www.transy.edu/" TargetMode="External"/><Relationship Id="rId1836" Type="http://schemas.openxmlformats.org/officeDocument/2006/relationships/hyperlink" Target="http://www.pitt.edu/~upg/" TargetMode="External"/><Relationship Id="rId2014" Type="http://schemas.openxmlformats.org/officeDocument/2006/relationships/hyperlink" Target="http://www.wcmo.edu/" TargetMode="External"/><Relationship Id="rId638" Type="http://schemas.openxmlformats.org/officeDocument/2006/relationships/hyperlink" Target="http://www.gtu.edu/" TargetMode="External"/><Relationship Id="rId845" Type="http://schemas.openxmlformats.org/officeDocument/2006/relationships/hyperlink" Target="http://www.lesley.edu/" TargetMode="External"/><Relationship Id="rId1030" Type="http://schemas.openxmlformats.org/officeDocument/2006/relationships/hyperlink" Target="http://www.scicu.org/morris/" TargetMode="External"/><Relationship Id="rId1268" Type="http://schemas.openxmlformats.org/officeDocument/2006/relationships/hyperlink" Target="http://www.princeton.edu/" TargetMode="External"/><Relationship Id="rId1475" Type="http://schemas.openxmlformats.org/officeDocument/2006/relationships/hyperlink" Target="http://www.esf.edu/" TargetMode="External"/><Relationship Id="rId1682" Type="http://schemas.openxmlformats.org/officeDocument/2006/relationships/hyperlink" Target="http://www.uamont.edu/" TargetMode="External"/><Relationship Id="rId1903" Type="http://schemas.openxmlformats.org/officeDocument/2006/relationships/hyperlink" Target="http://www.wise.virginia.edu/" TargetMode="External"/><Relationship Id="rId277" Type="http://schemas.openxmlformats.org/officeDocument/2006/relationships/hyperlink" Target="http://www.cn.edu/" TargetMode="External"/><Relationship Id="rId400" Type="http://schemas.openxmlformats.org/officeDocument/2006/relationships/hyperlink" Target="http://www.columbia.edu/" TargetMode="External"/><Relationship Id="rId484" Type="http://schemas.openxmlformats.org/officeDocument/2006/relationships/hyperlink" Target="http://www.dordt.edu/" TargetMode="External"/><Relationship Id="rId705" Type="http://schemas.openxmlformats.org/officeDocument/2006/relationships/hyperlink" Target="http://www.humphreys.edu/" TargetMode="External"/><Relationship Id="rId1128" Type="http://schemas.openxmlformats.org/officeDocument/2006/relationships/hyperlink" Target="http://www.ngc.peachnet.edu/" TargetMode="External"/><Relationship Id="rId1335" Type="http://schemas.openxmlformats.org/officeDocument/2006/relationships/hyperlink" Target="http://www.sage.edu/SGS/" TargetMode="External"/><Relationship Id="rId1542" Type="http://schemas.openxmlformats.org/officeDocument/2006/relationships/hyperlink" Target="http://www.stvincent.edu/" TargetMode="External"/><Relationship Id="rId1987" Type="http://schemas.openxmlformats.org/officeDocument/2006/relationships/hyperlink" Target="http://www.wesleyan-college.edu/" TargetMode="External"/><Relationship Id="rId137" Type="http://schemas.openxmlformats.org/officeDocument/2006/relationships/hyperlink" Target="http://www.bates.edu/" TargetMode="External"/><Relationship Id="rId344" Type="http://schemas.openxmlformats.org/officeDocument/2006/relationships/hyperlink" Target="http://www.clemson.edu/" TargetMode="External"/><Relationship Id="rId691" Type="http://schemas.openxmlformats.org/officeDocument/2006/relationships/hyperlink" Target="http://www.hofstra.edu/" TargetMode="External"/><Relationship Id="rId789" Type="http://schemas.openxmlformats.org/officeDocument/2006/relationships/hyperlink" Target="http://www.kgi.edu/" TargetMode="External"/><Relationship Id="rId912" Type="http://schemas.openxmlformats.org/officeDocument/2006/relationships/hyperlink" Target="http://www.mariancoll.edu/" TargetMode="External"/><Relationship Id="rId996" Type="http://schemas.openxmlformats.org/officeDocument/2006/relationships/hyperlink" Target="http://www.mnbc.edu/" TargetMode="External"/><Relationship Id="rId1847" Type="http://schemas.openxmlformats.org/officeDocument/2006/relationships/hyperlink" Target="http://www.usao.edu/" TargetMode="External"/><Relationship Id="rId2025" Type="http://schemas.openxmlformats.org/officeDocument/2006/relationships/hyperlink" Target="http://www.westwood.edu/" TargetMode="External"/><Relationship Id="rId41" Type="http://schemas.openxmlformats.org/officeDocument/2006/relationships/hyperlink" Target="http://www.aic.edu/" TargetMode="External"/><Relationship Id="rId551" Type="http://schemas.openxmlformats.org/officeDocument/2006/relationships/hyperlink" Target="http://www.fielding.edu/" TargetMode="External"/><Relationship Id="rId649" Type="http://schemas.openxmlformats.org/officeDocument/2006/relationships/hyperlink" Target="http://www.grinnell.edu/" TargetMode="External"/><Relationship Id="rId856" Type="http://schemas.openxmlformats.org/officeDocument/2006/relationships/hyperlink" Target="http://www.lincolnu.edu/" TargetMode="External"/><Relationship Id="rId1181" Type="http://schemas.openxmlformats.org/officeDocument/2006/relationships/hyperlink" Target="http://osu.com.okstate.edu/" TargetMode="External"/><Relationship Id="rId1279" Type="http://schemas.openxmlformats.org/officeDocument/2006/relationships/hyperlink" Target="http://www.runet.edu/" TargetMode="External"/><Relationship Id="rId1402" Type="http://schemas.openxmlformats.org/officeDocument/2006/relationships/hyperlink" Target="http://www.sebc.edu/" TargetMode="External"/><Relationship Id="rId1486" Type="http://schemas.openxmlformats.org/officeDocument/2006/relationships/hyperlink" Target="http://www.upstate.edu/" TargetMode="External"/><Relationship Id="rId1707" Type="http://schemas.openxmlformats.org/officeDocument/2006/relationships/hyperlink" Target="http://univchas.cofc.edu/" TargetMode="External"/><Relationship Id="rId190" Type="http://schemas.openxmlformats.org/officeDocument/2006/relationships/hyperlink" Target="http://www.bowdoin.edu/" TargetMode="External"/><Relationship Id="rId204" Type="http://schemas.openxmlformats.org/officeDocument/2006/relationships/hyperlink" Target="http://www.bridgew.edu/" TargetMode="External"/><Relationship Id="rId288" Type="http://schemas.openxmlformats.org/officeDocument/2006/relationships/hyperlink" Target="http://www.cbc.edu/" TargetMode="External"/><Relationship Id="rId411" Type="http://schemas.openxmlformats.org/officeDocument/2006/relationships/hyperlink" Target="http://www.csp.edu/" TargetMode="External"/><Relationship Id="rId509" Type="http://schemas.openxmlformats.org/officeDocument/2006/relationships/hyperlink" Target="http://www.ewu.edu/" TargetMode="External"/><Relationship Id="rId1041" Type="http://schemas.openxmlformats.org/officeDocument/2006/relationships/hyperlink" Target="http://www.mscfs.edu/" TargetMode="External"/><Relationship Id="rId1139" Type="http://schemas.openxmlformats.org/officeDocument/2006/relationships/hyperlink" Target="http://www.nwu.edu/" TargetMode="External"/><Relationship Id="rId1346" Type="http://schemas.openxmlformats.org/officeDocument/2006/relationships/hyperlink" Target="http://www.sdsu.edu/" TargetMode="External"/><Relationship Id="rId1693" Type="http://schemas.openxmlformats.org/officeDocument/2006/relationships/hyperlink" Target="http://www.ucmerced.edu/" TargetMode="External"/><Relationship Id="rId1914" Type="http://schemas.openxmlformats.org/officeDocument/2006/relationships/hyperlink" Target="http://www.uwosh.edu/" TargetMode="External"/><Relationship Id="rId1998" Type="http://schemas.openxmlformats.org/officeDocument/2006/relationships/hyperlink" Target="http://www.wgu.edu/" TargetMode="External"/><Relationship Id="rId495" Type="http://schemas.openxmlformats.org/officeDocument/2006/relationships/hyperlink" Target="http://www.eni.edu/" TargetMode="External"/><Relationship Id="rId716" Type="http://schemas.openxmlformats.org/officeDocument/2006/relationships/hyperlink" Target="http://www.ico.edu/" TargetMode="External"/><Relationship Id="rId923" Type="http://schemas.openxmlformats.org/officeDocument/2006/relationships/hyperlink" Target="http://www.mcrest.edu/" TargetMode="External"/><Relationship Id="rId1553" Type="http://schemas.openxmlformats.org/officeDocument/2006/relationships/hyperlink" Target="http://www.tarleton.edu/" TargetMode="External"/><Relationship Id="rId1760" Type="http://schemas.openxmlformats.org/officeDocument/2006/relationships/hyperlink" Target="http://www.maine.edu/" TargetMode="External"/><Relationship Id="rId1858" Type="http://schemas.openxmlformats.org/officeDocument/2006/relationships/hyperlink" Target="http://www.sc.edu/union/" TargetMode="External"/><Relationship Id="rId52" Type="http://schemas.openxmlformats.org/officeDocument/2006/relationships/hyperlink" Target="http://www.aju.edu/" TargetMode="External"/><Relationship Id="rId148" Type="http://schemas.openxmlformats.org/officeDocument/2006/relationships/hyperlink" Target="http://www.beloit.edu/" TargetMode="External"/><Relationship Id="rId355" Type="http://schemas.openxmlformats.org/officeDocument/2006/relationships/hyperlink" Target="http://www.colby-sawyer.edu/" TargetMode="External"/><Relationship Id="rId562" Type="http://schemas.openxmlformats.org/officeDocument/2006/relationships/hyperlink" Target="http://www.fgcu.edu/" TargetMode="External"/><Relationship Id="rId1192" Type="http://schemas.openxmlformats.org/officeDocument/2006/relationships/hyperlink" Target="http://www.ogi.edu/" TargetMode="External"/><Relationship Id="rId1206" Type="http://schemas.openxmlformats.org/officeDocument/2006/relationships/hyperlink" Target="http://www.ormed.edu/" TargetMode="External"/><Relationship Id="rId1413" Type="http://schemas.openxmlformats.org/officeDocument/2006/relationships/hyperlink" Target="http://www.sco.edu/" TargetMode="External"/><Relationship Id="rId1620" Type="http://schemas.openxmlformats.org/officeDocument/2006/relationships/hyperlink" Target="http://www.thomasu.edu/" TargetMode="External"/><Relationship Id="rId2036" Type="http://schemas.openxmlformats.org/officeDocument/2006/relationships/hyperlink" Target="http://www.wileyc.edu/" TargetMode="External"/><Relationship Id="rId215" Type="http://schemas.openxmlformats.org/officeDocument/2006/relationships/hyperlink" Target="http://www.newchurch.edu/college/" TargetMode="External"/><Relationship Id="rId422" Type="http://schemas.openxmlformats.org/officeDocument/2006/relationships/hyperlink" Target="http://www.cornell.edu/" TargetMode="External"/><Relationship Id="rId867" Type="http://schemas.openxmlformats.org/officeDocument/2006/relationships/hyperlink" Target="http://www.liunet.edu/" TargetMode="External"/><Relationship Id="rId1052" Type="http://schemas.openxmlformats.org/officeDocument/2006/relationships/hyperlink" Target="http://www.mursuky.edu/" TargetMode="External"/><Relationship Id="rId1497" Type="http://schemas.openxmlformats.org/officeDocument/2006/relationships/hyperlink" Target="http://www.stetson.edu/" TargetMode="External"/><Relationship Id="rId1718" Type="http://schemas.openxmlformats.org/officeDocument/2006/relationships/hyperlink" Target="http://www.waterbury.uconn.edu/" TargetMode="External"/><Relationship Id="rId1925" Type="http://schemas.openxmlformats.org/officeDocument/2006/relationships/hyperlink" Target="http://www.ursinus.edu/" TargetMode="External"/><Relationship Id="rId299" Type="http://schemas.openxmlformats.org/officeDocument/2006/relationships/hyperlink" Target="http://www.chaminade.edu/" TargetMode="External"/><Relationship Id="rId727" Type="http://schemas.openxmlformats.org/officeDocument/2006/relationships/hyperlink" Target="http://www.iub.edu/" TargetMode="External"/><Relationship Id="rId934" Type="http://schemas.openxmlformats.org/officeDocument/2006/relationships/hyperlink" Target="http://www.mcla.mass.edu/" TargetMode="External"/><Relationship Id="rId1357" Type="http://schemas.openxmlformats.org/officeDocument/2006/relationships/hyperlink" Target="http://www.scad.edu/" TargetMode="External"/><Relationship Id="rId1564" Type="http://schemas.openxmlformats.org/officeDocument/2006/relationships/hyperlink" Target="http://www.tamu.edu/" TargetMode="External"/><Relationship Id="rId1771" Type="http://schemas.openxmlformats.org/officeDocument/2006/relationships/hyperlink" Target="http://www.umass.edu/" TargetMode="External"/><Relationship Id="rId63" Type="http://schemas.openxmlformats.org/officeDocument/2006/relationships/hyperlink" Target="http://www.aquinas.edu/" TargetMode="External"/><Relationship Id="rId159" Type="http://schemas.openxmlformats.org/officeDocument/2006/relationships/hyperlink" Target="http://www.berklee.edu/" TargetMode="External"/><Relationship Id="rId366" Type="http://schemas.openxmlformats.org/officeDocument/2006/relationships/hyperlink" Target="http://www.cod.edu/" TargetMode="External"/><Relationship Id="rId573" Type="http://schemas.openxmlformats.org/officeDocument/2006/relationships/hyperlink" Target="http://www.fontbonne.edu/" TargetMode="External"/><Relationship Id="rId780" Type="http://schemas.openxmlformats.org/officeDocument/2006/relationships/hyperlink" Target="http://www.juniata.edu/" TargetMode="External"/><Relationship Id="rId1217" Type="http://schemas.openxmlformats.org/officeDocument/2006/relationships/hyperlink" Target="http://www.palmer.edu/" TargetMode="External"/><Relationship Id="rId1424" Type="http://schemas.openxmlformats.org/officeDocument/2006/relationships/hyperlink" Target="http://www.susla.edu/" TargetMode="External"/><Relationship Id="rId1631" Type="http://schemas.openxmlformats.org/officeDocument/2006/relationships/hyperlink" Target="http://www.ndsu.nodak.edu/tricollege/" TargetMode="External"/><Relationship Id="rId1869" Type="http://schemas.openxmlformats.org/officeDocument/2006/relationships/hyperlink" Target="http://www.utc.edu/" TargetMode="External"/><Relationship Id="rId2047" Type="http://schemas.openxmlformats.org/officeDocument/2006/relationships/hyperlink" Target="http://www.wmwoods.edu/" TargetMode="External"/><Relationship Id="rId226" Type="http://schemas.openxmlformats.org/officeDocument/2006/relationships/hyperlink" Target="http://www.ccac-art.edu/" TargetMode="External"/><Relationship Id="rId433" Type="http://schemas.openxmlformats.org/officeDocument/2006/relationships/hyperlink" Target="http://www.curry.edu:8080/" TargetMode="External"/><Relationship Id="rId878" Type="http://schemas.openxmlformats.org/officeDocument/2006/relationships/hyperlink" Target="http://www.lsuhsc.edu/" TargetMode="External"/><Relationship Id="rId1063" Type="http://schemas.openxmlformats.org/officeDocument/2006/relationships/hyperlink" Target="http://www.ncnm.edu/" TargetMode="External"/><Relationship Id="rId1270" Type="http://schemas.openxmlformats.org/officeDocument/2006/relationships/hyperlink" Target="http://www.providence.edu/" TargetMode="External"/><Relationship Id="rId1729" Type="http://schemas.openxmlformats.org/officeDocument/2006/relationships/hyperlink" Target="http://www.uga.edu/" TargetMode="External"/><Relationship Id="rId1936" Type="http://schemas.openxmlformats.org/officeDocument/2006/relationships/hyperlink" Target="http://www.vanguard.edu/" TargetMode="External"/><Relationship Id="rId640" Type="http://schemas.openxmlformats.org/officeDocument/2006/relationships/hyperlink" Target="http://www.gcu.edu/" TargetMode="External"/><Relationship Id="rId738" Type="http://schemas.openxmlformats.org/officeDocument/2006/relationships/hyperlink" Target="http://www.indwes.edu/" TargetMode="External"/><Relationship Id="rId945" Type="http://schemas.openxmlformats.org/officeDocument/2006/relationships/hyperlink" Target="http://www.mcpherson.edu/" TargetMode="External"/><Relationship Id="rId1368" Type="http://schemas.openxmlformats.org/officeDocument/2006/relationships/hyperlink" Target="http://www.seattleu.edu/" TargetMode="External"/><Relationship Id="rId1575" Type="http://schemas.openxmlformats.org/officeDocument/2006/relationships/hyperlink" Target="http://www.tsu.edu/" TargetMode="External"/><Relationship Id="rId1782" Type="http://schemas.openxmlformats.org/officeDocument/2006/relationships/hyperlink" Target="http://www.flint.umich.edu/" TargetMode="External"/><Relationship Id="rId74" Type="http://schemas.openxmlformats.org/officeDocument/2006/relationships/hyperlink" Target="http://www.asub.edu/" TargetMode="External"/><Relationship Id="rId377" Type="http://schemas.openxmlformats.org/officeDocument/2006/relationships/hyperlink" Target="http://www.csj.edu/" TargetMode="External"/><Relationship Id="rId500" Type="http://schemas.openxmlformats.org/officeDocument/2006/relationships/hyperlink" Target="http://easternconservatory-music.org/" TargetMode="External"/><Relationship Id="rId584" Type="http://schemas.openxmlformats.org/officeDocument/2006/relationships/hyperlink" Target="http://www.fandm.edu/" TargetMode="External"/><Relationship Id="rId805" Type="http://schemas.openxmlformats.org/officeDocument/2006/relationships/hyperlink" Target="http://www.kenyon.edu/" TargetMode="External"/><Relationship Id="rId1130" Type="http://schemas.openxmlformats.org/officeDocument/2006/relationships/hyperlink" Target="http://www.northland.edu/" TargetMode="External"/><Relationship Id="rId1228" Type="http://schemas.openxmlformats.org/officeDocument/2006/relationships/hyperlink" Target="http://www.abington.psu.edu/" TargetMode="External"/><Relationship Id="rId1435" Type="http://schemas.openxmlformats.org/officeDocument/2006/relationships/hyperlink" Target="http://www.swcu.edu/" TargetMode="External"/><Relationship Id="rId2058" Type="http://schemas.openxmlformats.org/officeDocument/2006/relationships/hyperlink" Target="http://www.wofford.edu/" TargetMode="External"/><Relationship Id="rId5" Type="http://schemas.openxmlformats.org/officeDocument/2006/relationships/hyperlink" Target="http://www.scottlan.edu/" TargetMode="External"/><Relationship Id="rId237" Type="http://schemas.openxmlformats.org/officeDocument/2006/relationships/hyperlink" Target="http://www.cspp.edu/catalog/9.htm" TargetMode="External"/><Relationship Id="rId791" Type="http://schemas.openxmlformats.org/officeDocument/2006/relationships/hyperlink" Target="http://www.keller.edu/" TargetMode="External"/><Relationship Id="rId889" Type="http://schemas.openxmlformats.org/officeDocument/2006/relationships/hyperlink" Target="http://www.lycoming.edu/" TargetMode="External"/><Relationship Id="rId1074" Type="http://schemas.openxmlformats.org/officeDocument/2006/relationships/hyperlink" Target="http://www.methodistcollege.edu/nurseover.html" TargetMode="External"/><Relationship Id="rId1642" Type="http://schemas.openxmlformats.org/officeDocument/2006/relationships/hyperlink" Target="http://www.tristate.edu/" TargetMode="External"/><Relationship Id="rId1947" Type="http://schemas.openxmlformats.org/officeDocument/2006/relationships/hyperlink" Target="http://www.vmi.edu/" TargetMode="External"/><Relationship Id="rId444" Type="http://schemas.openxmlformats.org/officeDocument/2006/relationships/hyperlink" Target="http://www.davenport.edu/grandrapids/" TargetMode="External"/><Relationship Id="rId651" Type="http://schemas.openxmlformats.org/officeDocument/2006/relationships/hyperlink" Target="http://www.guilford.edu/" TargetMode="External"/><Relationship Id="rId749" Type="http://schemas.openxmlformats.org/officeDocument/2006/relationships/hyperlink" Target="http://www.iastate.edu/" TargetMode="External"/><Relationship Id="rId1281" Type="http://schemas.openxmlformats.org/officeDocument/2006/relationships/hyperlink" Target="http://www.rgs.edu/" TargetMode="External"/><Relationship Id="rId1379" Type="http://schemas.openxmlformats.org/officeDocument/2006/relationships/hyperlink" Target="http://www.ship.edu/" TargetMode="External"/><Relationship Id="rId1502" Type="http://schemas.openxmlformats.org/officeDocument/2006/relationships/hyperlink" Target="http://www.osfsaintfrancis.org/" TargetMode="External"/><Relationship Id="rId1586" Type="http://schemas.openxmlformats.org/officeDocument/2006/relationships/hyperlink" Target="http://www.thechicagoschool.edu/" TargetMode="External"/><Relationship Id="rId1807" Type="http://schemas.openxmlformats.org/officeDocument/2006/relationships/hyperlink" Target="http://www.newhaven.edu/" TargetMode="External"/><Relationship Id="rId290" Type="http://schemas.openxmlformats.org/officeDocument/2006/relationships/hyperlink" Target="http://www.cccb.edu/" TargetMode="External"/><Relationship Id="rId304" Type="http://schemas.openxmlformats.org/officeDocument/2006/relationships/hyperlink" Target="http://www.cosc.edu/" TargetMode="External"/><Relationship Id="rId388" Type="http://schemas.openxmlformats.org/officeDocument/2006/relationships/hyperlink" Target="http://www.mines.edu/" TargetMode="External"/><Relationship Id="rId511" Type="http://schemas.openxmlformats.org/officeDocument/2006/relationships/hyperlink" Target="http://www.etsu.edu/" TargetMode="External"/><Relationship Id="rId609" Type="http://schemas.openxmlformats.org/officeDocument/2006/relationships/hyperlink" Target="http://www.georgetown.edu/" TargetMode="External"/><Relationship Id="rId956" Type="http://schemas.openxmlformats.org/officeDocument/2006/relationships/hyperlink" Target="http://www.mcn.ilstu.edu/" TargetMode="External"/><Relationship Id="rId1141" Type="http://schemas.openxmlformats.org/officeDocument/2006/relationships/hyperlink" Target="http://www.nnu.edu/" TargetMode="External"/><Relationship Id="rId1239" Type="http://schemas.openxmlformats.org/officeDocument/2006/relationships/hyperlink" Target="http://www.peru.edu/" TargetMode="External"/><Relationship Id="rId1793" Type="http://schemas.openxmlformats.org/officeDocument/2006/relationships/hyperlink" Target="http://www.umt.edu/" TargetMode="External"/><Relationship Id="rId2069" Type="http://schemas.openxmlformats.org/officeDocument/2006/relationships/hyperlink" Target="http://www.yorkcol.edu/" TargetMode="External"/><Relationship Id="rId85" Type="http://schemas.openxmlformats.org/officeDocument/2006/relationships/hyperlink" Target="http://www.aisc.edu/" TargetMode="External"/><Relationship Id="rId150" Type="http://schemas.openxmlformats.org/officeDocument/2006/relationships/hyperlink" Target="http://www.benedict.edu/" TargetMode="External"/><Relationship Id="rId595" Type="http://schemas.openxmlformats.org/officeDocument/2006/relationships/hyperlink" Target="http://www.fresnocitycollege.edu/" TargetMode="External"/><Relationship Id="rId816" Type="http://schemas.openxmlformats.org/officeDocument/2006/relationships/hyperlink" Target="http://www.lafayette.edu/" TargetMode="External"/><Relationship Id="rId1001" Type="http://schemas.openxmlformats.org/officeDocument/2006/relationships/hyperlink" Target="http://www.muw.edu/" TargetMode="External"/><Relationship Id="rId1446" Type="http://schemas.openxmlformats.org/officeDocument/2006/relationships/hyperlink" Target="http://www.spalding.edu/" TargetMode="External"/><Relationship Id="rId1653" Type="http://schemas.openxmlformats.org/officeDocument/2006/relationships/hyperlink" Target="http://www.tusculum.edu/" TargetMode="External"/><Relationship Id="rId1860" Type="http://schemas.openxmlformats.org/officeDocument/2006/relationships/hyperlink" Target="http://www.usc.edu/" TargetMode="External"/><Relationship Id="rId248" Type="http://schemas.openxmlformats.org/officeDocument/2006/relationships/hyperlink" Target="http://www.calstatela.edu/" TargetMode="External"/><Relationship Id="rId455" Type="http://schemas.openxmlformats.org/officeDocument/2006/relationships/hyperlink" Target="http://www.paralegal-education.com/campuses/cosprings/" TargetMode="External"/><Relationship Id="rId662" Type="http://schemas.openxmlformats.org/officeDocument/2006/relationships/hyperlink" Target="http://www.hlg.edu/" TargetMode="External"/><Relationship Id="rId1085" Type="http://schemas.openxmlformats.org/officeDocument/2006/relationships/hyperlink" Target="http://www.nescom.edu/" TargetMode="External"/><Relationship Id="rId1292" Type="http://schemas.openxmlformats.org/officeDocument/2006/relationships/hyperlink" Target="http://www.regentinternational.net/" TargetMode="External"/><Relationship Id="rId1306" Type="http://schemas.openxmlformats.org/officeDocument/2006/relationships/hyperlink" Target="http://www.ripon.edu/" TargetMode="External"/><Relationship Id="rId1513" Type="http://schemas.openxmlformats.org/officeDocument/2006/relationships/hyperlink" Target="http://www.sjcny.edu/" TargetMode="External"/><Relationship Id="rId1720" Type="http://schemas.openxmlformats.org/officeDocument/2006/relationships/hyperlink" Target="http://www.udallas.edu/" TargetMode="External"/><Relationship Id="rId1958" Type="http://schemas.openxmlformats.org/officeDocument/2006/relationships/hyperlink" Target="http://www.wwc.edu/" TargetMode="External"/><Relationship Id="rId12" Type="http://schemas.openxmlformats.org/officeDocument/2006/relationships/hyperlink" Target="http://www.albanylaw.edu/" TargetMode="External"/><Relationship Id="rId108" Type="http://schemas.openxmlformats.org/officeDocument/2006/relationships/hyperlink" Target="http://www.averett.edu/" TargetMode="External"/><Relationship Id="rId315" Type="http://schemas.openxmlformats.org/officeDocument/2006/relationships/hyperlink" Target="http://www.cityu.edu/" TargetMode="External"/><Relationship Id="rId522" Type="http://schemas.openxmlformats.org/officeDocument/2006/relationships/hyperlink" Target="http://www.elmira.edu/" TargetMode="External"/><Relationship Id="rId967" Type="http://schemas.openxmlformats.org/officeDocument/2006/relationships/hyperlink" Target="http://www.metro.msus.edu/" TargetMode="External"/><Relationship Id="rId1152" Type="http://schemas.openxmlformats.org/officeDocument/2006/relationships/hyperlink" Target="http://www.oak.edu/" TargetMode="External"/><Relationship Id="rId1597" Type="http://schemas.openxmlformats.org/officeDocument/2006/relationships/hyperlink" Target="http://www.dsl.edu/" TargetMode="External"/><Relationship Id="rId1818" Type="http://schemas.openxmlformats.org/officeDocument/2006/relationships/hyperlink" Target="http://www.und.nodak.edu/" TargetMode="External"/><Relationship Id="rId96" Type="http://schemas.openxmlformats.org/officeDocument/2006/relationships/hyperlink" Target="http://www.auburn.edu/" TargetMode="External"/><Relationship Id="rId161" Type="http://schemas.openxmlformats.org/officeDocument/2006/relationships/hyperlink" Target="http://www.berry.edu/" TargetMode="External"/><Relationship Id="rId399" Type="http://schemas.openxmlformats.org/officeDocument/2006/relationships/hyperlink" Target="http://www.cuc.edu/" TargetMode="External"/><Relationship Id="rId827" Type="http://schemas.openxmlformats.org/officeDocument/2006/relationships/hyperlink" Target="http://www.lbc.edu/" TargetMode="External"/><Relationship Id="rId1012" Type="http://schemas.openxmlformats.org/officeDocument/2006/relationships/hyperlink" Target="http://www.msubillings.edu/" TargetMode="External"/><Relationship Id="rId1457" Type="http://schemas.openxmlformats.org/officeDocument/2006/relationships/hyperlink" Target="http://www.anselm.edu/" TargetMode="External"/><Relationship Id="rId1664" Type="http://schemas.openxmlformats.org/officeDocument/2006/relationships/hyperlink" Target="http://www.usmma.edu/" TargetMode="External"/><Relationship Id="rId1871" Type="http://schemas.openxmlformats.org/officeDocument/2006/relationships/hyperlink" Target="http://www.utm.edu/" TargetMode="External"/><Relationship Id="rId259" Type="http://schemas.openxmlformats.org/officeDocument/2006/relationships/hyperlink" Target="http://www.calvary.edu/" TargetMode="External"/><Relationship Id="rId466" Type="http://schemas.openxmlformats.org/officeDocument/2006/relationships/hyperlink" Target="http://www.devrycols.edu/" TargetMode="External"/><Relationship Id="rId673" Type="http://schemas.openxmlformats.org/officeDocument/2006/relationships/hyperlink" Target="http://www.hmc.edu/" TargetMode="External"/><Relationship Id="rId880" Type="http://schemas.openxmlformats.org/officeDocument/2006/relationships/hyperlink" Target="http://www.latech.edu/" TargetMode="External"/><Relationship Id="rId1096" Type="http://schemas.openxmlformats.org/officeDocument/2006/relationships/hyperlink" Target="http://www.nycc.edu/" TargetMode="External"/><Relationship Id="rId1317" Type="http://schemas.openxmlformats.org/officeDocument/2006/relationships/hyperlink" Target="http://www.rvc.cc.il.us/" TargetMode="External"/><Relationship Id="rId1524" Type="http://schemas.openxmlformats.org/officeDocument/2006/relationships/hyperlink" Target="http://www.smcks.edu/" TargetMode="External"/><Relationship Id="rId1731" Type="http://schemas.openxmlformats.org/officeDocument/2006/relationships/hyperlink" Target="http://www.hartford.edu/" TargetMode="External"/><Relationship Id="rId1969" Type="http://schemas.openxmlformats.org/officeDocument/2006/relationships/hyperlink" Target="http://www.wsu.edu/" TargetMode="External"/><Relationship Id="rId23" Type="http://schemas.openxmlformats.org/officeDocument/2006/relationships/hyperlink" Target="http://www.alleg.edu/" TargetMode="External"/><Relationship Id="rId119" Type="http://schemas.openxmlformats.org/officeDocument/2006/relationships/hyperlink" Target="http://www.bakeru.edu/" TargetMode="External"/><Relationship Id="rId326" Type="http://schemas.openxmlformats.org/officeDocument/2006/relationships/hyperlink" Target="http://med.cuny.edu/" TargetMode="External"/><Relationship Id="rId533" Type="http://schemas.openxmlformats.org/officeDocument/2006/relationships/hyperlink" Target="http://www.emporia.edu/" TargetMode="External"/><Relationship Id="rId978" Type="http://schemas.openxmlformats.org/officeDocument/2006/relationships/hyperlink" Target="http://www.mcbc.edu/" TargetMode="External"/><Relationship Id="rId1163" Type="http://schemas.openxmlformats.org/officeDocument/2006/relationships/hyperlink" Target="http://www.ohio-state.edu/" TargetMode="External"/><Relationship Id="rId1370" Type="http://schemas.openxmlformats.org/officeDocument/2006/relationships/hyperlink" Target="http://www.setonhill.edu/" TargetMode="External"/><Relationship Id="rId1829" Type="http://schemas.openxmlformats.org/officeDocument/2006/relationships/hyperlink" Target="http://www.ouhsc.edu/" TargetMode="External"/><Relationship Id="rId2007" Type="http://schemas.openxmlformats.org/officeDocument/2006/relationships/hyperlink" Target="http://www.western.edu/" TargetMode="External"/><Relationship Id="rId740" Type="http://schemas.openxmlformats.org/officeDocument/2006/relationships/hyperlink" Target="http://www.ipst.edu/" TargetMode="External"/><Relationship Id="rId838" Type="http://schemas.openxmlformats.org/officeDocument/2006/relationships/hyperlink" Target="http://www.lvc.edu/" TargetMode="External"/><Relationship Id="rId1023" Type="http://schemas.openxmlformats.org/officeDocument/2006/relationships/hyperlink" Target="http://www.moravian.edu/" TargetMode="External"/><Relationship Id="rId1468" Type="http://schemas.openxmlformats.org/officeDocument/2006/relationships/hyperlink" Target="http://www.geneseo.edu/" TargetMode="External"/><Relationship Id="rId1675" Type="http://schemas.openxmlformats.org/officeDocument/2006/relationships/hyperlink" Target="http://www.uaa.alaska.edu/" TargetMode="External"/><Relationship Id="rId1882" Type="http://schemas.openxmlformats.org/officeDocument/2006/relationships/hyperlink" Target="http://www.uthouston.edu/" TargetMode="External"/><Relationship Id="rId172" Type="http://schemas.openxmlformats.org/officeDocument/2006/relationships/hyperlink" Target="http://www.bsc.edu/" TargetMode="External"/><Relationship Id="rId477" Type="http://schemas.openxmlformats.org/officeDocument/2006/relationships/hyperlink" Target="http://www.dixie.edu/" TargetMode="External"/><Relationship Id="rId600" Type="http://schemas.openxmlformats.org/officeDocument/2006/relationships/hyperlink" Target="http://www.furman.edu/" TargetMode="External"/><Relationship Id="rId684" Type="http://schemas.openxmlformats.org/officeDocument/2006/relationships/hyperlink" Target="http://www.highpoint.edu/" TargetMode="External"/><Relationship Id="rId1230" Type="http://schemas.openxmlformats.org/officeDocument/2006/relationships/hyperlink" Target="http://www.pserie.psu.edu/" TargetMode="External"/><Relationship Id="rId1328" Type="http://schemas.openxmlformats.org/officeDocument/2006/relationships/hyperlink" Target="http://www.rushu.rush.edu/" TargetMode="External"/><Relationship Id="rId1535" Type="http://schemas.openxmlformats.org/officeDocument/2006/relationships/hyperlink" Target="http://www.stonehill.edu/" TargetMode="External"/><Relationship Id="rId2060" Type="http://schemas.openxmlformats.org/officeDocument/2006/relationships/hyperlink" Target="http://www.wpi.edu/" TargetMode="External"/><Relationship Id="rId337" Type="http://schemas.openxmlformats.org/officeDocument/2006/relationships/hyperlink" Target="http://www.clarke.edu/" TargetMode="External"/><Relationship Id="rId891" Type="http://schemas.openxmlformats.org/officeDocument/2006/relationships/hyperlink" Target="http://www.lsc.vsc.edu/" TargetMode="External"/><Relationship Id="rId905" Type="http://schemas.openxmlformats.org/officeDocument/2006/relationships/hyperlink" Target="http://www.mancol.edu/" TargetMode="External"/><Relationship Id="rId989" Type="http://schemas.openxmlformats.org/officeDocument/2006/relationships/hyperlink" Target="http://www.millikin.edu/" TargetMode="External"/><Relationship Id="rId1742" Type="http://schemas.openxmlformats.org/officeDocument/2006/relationships/hyperlink" Target="http://www.uillinois.edu/" TargetMode="External"/><Relationship Id="rId2018" Type="http://schemas.openxmlformats.org/officeDocument/2006/relationships/hyperlink" Target="http://www.curf.edu/~wscasseyp/wscn.htm" TargetMode="External"/><Relationship Id="rId34" Type="http://schemas.openxmlformats.org/officeDocument/2006/relationships/hyperlink" Target="http://www.aesom.com/" TargetMode="External"/><Relationship Id="rId544" Type="http://schemas.openxmlformats.org/officeDocument/2006/relationships/hyperlink" Target="http://www.fscwv.edu/" TargetMode="External"/><Relationship Id="rId751" Type="http://schemas.openxmlformats.org/officeDocument/2006/relationships/hyperlink" Target="http://www.ithaca.edu/" TargetMode="External"/><Relationship Id="rId849" Type="http://schemas.openxmlformats.org/officeDocument/2006/relationships/hyperlink" Target="http://www.lcsc.edu/" TargetMode="External"/><Relationship Id="rId1174" Type="http://schemas.openxmlformats.org/officeDocument/2006/relationships/hyperlink" Target="http://www.ovc.edu/" TargetMode="External"/><Relationship Id="rId1381" Type="http://schemas.openxmlformats.org/officeDocument/2006/relationships/hyperlink" Target="http://www.shorter.edu/" TargetMode="External"/><Relationship Id="rId1479" Type="http://schemas.openxmlformats.org/officeDocument/2006/relationships/hyperlink" Target="http://www.hscbklyn.edu/" TargetMode="External"/><Relationship Id="rId1602" Type="http://schemas.openxmlformats.org/officeDocument/2006/relationships/hyperlink" Target="http://www.mica.edu/" TargetMode="External"/><Relationship Id="rId1686" Type="http://schemas.openxmlformats.org/officeDocument/2006/relationships/hyperlink" Target="http://www.ubalt.edu/" TargetMode="External"/><Relationship Id="rId183" Type="http://schemas.openxmlformats.org/officeDocument/2006/relationships/hyperlink" Target="http://www.bju.edu/" TargetMode="External"/><Relationship Id="rId390" Type="http://schemas.openxmlformats.org/officeDocument/2006/relationships/hyperlink" Target="http://www.colostate-pueblo.edu/" TargetMode="External"/><Relationship Id="rId404" Type="http://schemas.openxmlformats.org/officeDocument/2006/relationships/hyperlink" Target="http://ccd.rightchoice.org/" TargetMode="External"/><Relationship Id="rId611" Type="http://schemas.openxmlformats.org/officeDocument/2006/relationships/hyperlink" Target="http://www.gwc.edu/" TargetMode="External"/><Relationship Id="rId1034" Type="http://schemas.openxmlformats.org/officeDocument/2006/relationships/hyperlink" Target="http://www.mccn.edu/" TargetMode="External"/><Relationship Id="rId1241" Type="http://schemas.openxmlformats.org/officeDocument/2006/relationships/hyperlink" Target="http://www.pcb.edu/" TargetMode="External"/><Relationship Id="rId1339" Type="http://schemas.openxmlformats.org/officeDocument/2006/relationships/hyperlink" Target="http://www.salem.mass.edu/" TargetMode="External"/><Relationship Id="rId1893" Type="http://schemas.openxmlformats.org/officeDocument/2006/relationships/hyperlink" Target="http://www.ozarks.edu/" TargetMode="External"/><Relationship Id="rId1907" Type="http://schemas.openxmlformats.org/officeDocument/2006/relationships/hyperlink" Target="http://www.uwf.edu/" TargetMode="External"/><Relationship Id="rId2071" Type="http://schemas.openxmlformats.org/officeDocument/2006/relationships/hyperlink" Target="http://www.yorkuniversity.us/" TargetMode="External"/><Relationship Id="rId250" Type="http://schemas.openxmlformats.org/officeDocument/2006/relationships/hyperlink" Target="http://www.csun.edu/" TargetMode="External"/><Relationship Id="rId488" Type="http://schemas.openxmlformats.org/officeDocument/2006/relationships/hyperlink" Target="http://www.drexel.edu/" TargetMode="External"/><Relationship Id="rId695" Type="http://schemas.openxmlformats.org/officeDocument/2006/relationships/hyperlink" Target="http://www.hfc.edu/" TargetMode="External"/><Relationship Id="rId709" Type="http://schemas.openxmlformats.org/officeDocument/2006/relationships/hyperlink" Target="http://www.htc.edu/" TargetMode="External"/><Relationship Id="rId916" Type="http://schemas.openxmlformats.org/officeDocument/2006/relationships/hyperlink" Target="http://www.mu.edu/" TargetMode="External"/><Relationship Id="rId1101" Type="http://schemas.openxmlformats.org/officeDocument/2006/relationships/hyperlink" Target="http://www.nymc.edu/" TargetMode="External"/><Relationship Id="rId1546" Type="http://schemas.openxmlformats.org/officeDocument/2006/relationships/hyperlink" Target="http://www.sulross.edu/" TargetMode="External"/><Relationship Id="rId1753" Type="http://schemas.openxmlformats.org/officeDocument/2006/relationships/hyperlink" Target="http://www.louisville.edu/" TargetMode="External"/><Relationship Id="rId1960" Type="http://schemas.openxmlformats.org/officeDocument/2006/relationships/hyperlink" Target="http://www.walsh.edu/" TargetMode="External"/><Relationship Id="rId45" Type="http://schemas.openxmlformats.org/officeDocument/2006/relationships/hyperlink" Target="http://www.american.edu/" TargetMode="External"/><Relationship Id="rId110" Type="http://schemas.openxmlformats.org/officeDocument/2006/relationships/hyperlink" Target="http://www.apu.edu/" TargetMode="External"/><Relationship Id="rId348" Type="http://schemas.openxmlformats.org/officeDocument/2006/relationships/hyperlink" Target="http://www.cim.edu/" TargetMode="External"/><Relationship Id="rId555" Type="http://schemas.openxmlformats.org/officeDocument/2006/relationships/hyperlink" Target="http://www.fisk.edu/" TargetMode="External"/><Relationship Id="rId762" Type="http://schemas.openxmlformats.org/officeDocument/2006/relationships/hyperlink" Target="http://www.jarvis.edu/" TargetMode="External"/><Relationship Id="rId1185" Type="http://schemas.openxmlformats.org/officeDocument/2006/relationships/hyperlink" Target="http://www.odu.edu/" TargetMode="External"/><Relationship Id="rId1392" Type="http://schemas.openxmlformats.org/officeDocument/2006/relationships/hyperlink" Target="http://www.skidmore.edu/" TargetMode="External"/><Relationship Id="rId1406" Type="http://schemas.openxmlformats.org/officeDocument/2006/relationships/hyperlink" Target="http://www.seu.edu/" TargetMode="External"/><Relationship Id="rId1613" Type="http://schemas.openxmlformats.org/officeDocument/2006/relationships/hyperlink" Target="http://www.thiel.edu/" TargetMode="External"/><Relationship Id="rId1820" Type="http://schemas.openxmlformats.org/officeDocument/2006/relationships/hyperlink" Target="http://www.uni.edu/" TargetMode="External"/><Relationship Id="rId2029" Type="http://schemas.openxmlformats.org/officeDocument/2006/relationships/hyperlink" Target="http://www.whitman.edu/" TargetMode="External"/><Relationship Id="rId194" Type="http://schemas.openxmlformats.org/officeDocument/2006/relationships/hyperlink" Target="http://www.bradley.edu/" TargetMode="External"/><Relationship Id="rId208" Type="http://schemas.openxmlformats.org/officeDocument/2006/relationships/hyperlink" Target="http://www.brooklaw.edu/" TargetMode="External"/><Relationship Id="rId415" Type="http://schemas.openxmlformats.org/officeDocument/2006/relationships/hyperlink" Target="http://www.cu-portland.edu/" TargetMode="External"/><Relationship Id="rId622" Type="http://schemas.openxmlformats.org/officeDocument/2006/relationships/hyperlink" Target="http://www.glendalelaw.edu/" TargetMode="External"/><Relationship Id="rId1045" Type="http://schemas.openxmlformats.org/officeDocument/2006/relationships/hyperlink" Target="http://www.msmc.la.edu/" TargetMode="External"/><Relationship Id="rId1252" Type="http://schemas.openxmlformats.org/officeDocument/2006/relationships/hyperlink" Target="http://www.pitzer.edu/" TargetMode="External"/><Relationship Id="rId1697" Type="http://schemas.openxmlformats.org/officeDocument/2006/relationships/hyperlink" Target="http://www.ucsf.edu/" TargetMode="External"/><Relationship Id="rId1918" Type="http://schemas.openxmlformats.org/officeDocument/2006/relationships/hyperlink" Target="http://www.uwsp.edu/" TargetMode="External"/><Relationship Id="rId261" Type="http://schemas.openxmlformats.org/officeDocument/2006/relationships/hyperlink" Target="http://www.cambridge.edu/" TargetMode="External"/><Relationship Id="rId499" Type="http://schemas.openxmlformats.org/officeDocument/2006/relationships/hyperlink" Target="http://www.ecsu.ctstateu.edu/" TargetMode="External"/><Relationship Id="rId927" Type="http://schemas.openxmlformats.org/officeDocument/2006/relationships/hyperlink" Target="http://marymount.mmm.edu/" TargetMode="External"/><Relationship Id="rId1112" Type="http://schemas.openxmlformats.org/officeDocument/2006/relationships/hyperlink" Target="http://www.ncwc.edu/" TargetMode="External"/><Relationship Id="rId1557" Type="http://schemas.openxmlformats.org/officeDocument/2006/relationships/hyperlink" Target="http://www.temple.edu/" TargetMode="External"/><Relationship Id="rId1764" Type="http://schemas.openxmlformats.org/officeDocument/2006/relationships/hyperlink" Target="http://www.umbc.edu/" TargetMode="External"/><Relationship Id="rId1971" Type="http://schemas.openxmlformats.org/officeDocument/2006/relationships/hyperlink" Target="http://www.tricity.wsu.edu/" TargetMode="External"/><Relationship Id="rId56" Type="http://schemas.openxmlformats.org/officeDocument/2006/relationships/hyperlink" Target="http://www.antiochne.edu/" TargetMode="External"/><Relationship Id="rId359" Type="http://schemas.openxmlformats.org/officeDocument/2006/relationships/hyperlink" Target="http://www.collegeamerica.edu/" TargetMode="External"/><Relationship Id="rId566" Type="http://schemas.openxmlformats.org/officeDocument/2006/relationships/hyperlink" Target="http://www.fmu.edu/784/f-784.htm" TargetMode="External"/><Relationship Id="rId773" Type="http://schemas.openxmlformats.org/officeDocument/2006/relationships/hyperlink" Target="http://www.jwu.edu/" TargetMode="External"/><Relationship Id="rId1196" Type="http://schemas.openxmlformats.org/officeDocument/2006/relationships/hyperlink" Target="http://www.otisart.edu/" TargetMode="External"/><Relationship Id="rId1417" Type="http://schemas.openxmlformats.org/officeDocument/2006/relationships/hyperlink" Target="http://www.smu.edu/" TargetMode="External"/><Relationship Id="rId1624" Type="http://schemas.openxmlformats.org/officeDocument/2006/relationships/hyperlink" Target="http://wwwtc.nhmccd.edu/" TargetMode="External"/><Relationship Id="rId1831" Type="http://schemas.openxmlformats.org/officeDocument/2006/relationships/hyperlink" Target="http://www.uomhs.edu/" TargetMode="External"/><Relationship Id="rId121" Type="http://schemas.openxmlformats.org/officeDocument/2006/relationships/hyperlink" Target="http://www.bsu.edu/" TargetMode="External"/><Relationship Id="rId219" Type="http://schemas.openxmlformats.org/officeDocument/2006/relationships/hyperlink" Target="http://www.burlcol.edu/" TargetMode="External"/><Relationship Id="rId426" Type="http://schemas.openxmlformats.org/officeDocument/2006/relationships/hyperlink" Target="http://www.cranbrookart.edu/" TargetMode="External"/><Relationship Id="rId633" Type="http://schemas.openxmlformats.org/officeDocument/2006/relationships/hyperlink" Target="http://www.govst.edu/" TargetMode="External"/><Relationship Id="rId980" Type="http://schemas.openxmlformats.org/officeDocument/2006/relationships/hyperlink" Target="http://www.mtsu.edu/" TargetMode="External"/><Relationship Id="rId1056" Type="http://schemas.openxmlformats.org/officeDocument/2006/relationships/hyperlink" Target="http://www.national.edu/albuquerque.html" TargetMode="External"/><Relationship Id="rId1263" Type="http://schemas.openxmlformats.org/officeDocument/2006/relationships/hyperlink" Target="http://www.pvamu.edu/" TargetMode="External"/><Relationship Id="rId1929" Type="http://schemas.openxmlformats.org/officeDocument/2006/relationships/hyperlink" Target="http://www.ucsu.edu/" TargetMode="External"/><Relationship Id="rId840" Type="http://schemas.openxmlformats.org/officeDocument/2006/relationships/hyperlink" Target="http://www.leeuniversity.edu/" TargetMode="External"/><Relationship Id="rId938" Type="http://schemas.openxmlformats.org/officeDocument/2006/relationships/hyperlink" Target="http://www.mspp.edu/" TargetMode="External"/><Relationship Id="rId1470" Type="http://schemas.openxmlformats.org/officeDocument/2006/relationships/hyperlink" Target="http://www.oneonta.edu/" TargetMode="External"/><Relationship Id="rId1568" Type="http://schemas.openxmlformats.org/officeDocument/2006/relationships/hyperlink" Target="http://www.tamuk.edu/" TargetMode="External"/><Relationship Id="rId1775" Type="http://schemas.openxmlformats.org/officeDocument/2006/relationships/hyperlink" Target="http://www.ummed.edu/" TargetMode="External"/><Relationship Id="rId67" Type="http://schemas.openxmlformats.org/officeDocument/2006/relationships/hyperlink" Target="http://www.arizonachristian.edu/" TargetMode="External"/><Relationship Id="rId272" Type="http://schemas.openxmlformats.org/officeDocument/2006/relationships/hyperlink" Target="http://www.albizu.edu/" TargetMode="External"/><Relationship Id="rId577" Type="http://schemas.openxmlformats.org/officeDocument/2006/relationships/hyperlink" Target="http://www.fhsu.edu/" TargetMode="External"/><Relationship Id="rId700" Type="http://schemas.openxmlformats.org/officeDocument/2006/relationships/hyperlink" Target="http://www.houghton.edu/" TargetMode="External"/><Relationship Id="rId1123" Type="http://schemas.openxmlformats.org/officeDocument/2006/relationships/hyperlink" Target="http://www.nku.edu/" TargetMode="External"/><Relationship Id="rId1330" Type="http://schemas.openxmlformats.org/officeDocument/2006/relationships/hyperlink" Target="http://www.rustcollege.edu/" TargetMode="External"/><Relationship Id="rId1428" Type="http://schemas.openxmlformats.org/officeDocument/2006/relationships/hyperlink" Target="http://www.sfbc.edu/" TargetMode="External"/><Relationship Id="rId1635" Type="http://schemas.openxmlformats.org/officeDocument/2006/relationships/hyperlink" Target="http://www.trincoll.edu/" TargetMode="External"/><Relationship Id="rId1982" Type="http://schemas.openxmlformats.org/officeDocument/2006/relationships/hyperlink" Target="http://www.webster.edu/jack/" TargetMode="External"/><Relationship Id="rId132" Type="http://schemas.openxmlformats.org/officeDocument/2006/relationships/hyperlink" Target="http://www.barnard.edu/" TargetMode="External"/><Relationship Id="rId784" Type="http://schemas.openxmlformats.org/officeDocument/2006/relationships/hyperlink" Target="http://www.ksu.edu/" TargetMode="External"/><Relationship Id="rId991" Type="http://schemas.openxmlformats.org/officeDocument/2006/relationships/hyperlink" Target="http://www.mills.edu/" TargetMode="External"/><Relationship Id="rId1067" Type="http://schemas.openxmlformats.org/officeDocument/2006/relationships/hyperlink" Target="http://www.ntu.edu/" TargetMode="External"/><Relationship Id="rId1842" Type="http://schemas.openxmlformats.org/officeDocument/2006/relationships/hyperlink" Target="http://www.urich.edu/" TargetMode="External"/><Relationship Id="rId2020" Type="http://schemas.openxmlformats.org/officeDocument/2006/relationships/hyperlink" Target="http://www.wvsom.edu/" TargetMode="External"/><Relationship Id="rId437" Type="http://schemas.openxmlformats.org/officeDocument/2006/relationships/hyperlink" Target="http://www.dbu.edu/" TargetMode="External"/><Relationship Id="rId644" Type="http://schemas.openxmlformats.org/officeDocument/2006/relationships/hyperlink" Target="http://www.gratzcollege.edu/" TargetMode="External"/><Relationship Id="rId851" Type="http://schemas.openxmlformats.org/officeDocument/2006/relationships/hyperlink" Target="http://www.liberty.edu/" TargetMode="External"/><Relationship Id="rId1274" Type="http://schemas.openxmlformats.org/officeDocument/2006/relationships/hyperlink" Target="http://www.pnc.edu/" TargetMode="External"/><Relationship Id="rId1481" Type="http://schemas.openxmlformats.org/officeDocument/2006/relationships/hyperlink" Target="http://www.hscsyr.edu/" TargetMode="External"/><Relationship Id="rId1579" Type="http://schemas.openxmlformats.org/officeDocument/2006/relationships/hyperlink" Target="http://www.twu.edu/" TargetMode="External"/><Relationship Id="rId1702" Type="http://schemas.openxmlformats.org/officeDocument/2006/relationships/hyperlink" Target="http://www.ucf.edu/" TargetMode="External"/><Relationship Id="rId283" Type="http://schemas.openxmlformats.org/officeDocument/2006/relationships/hyperlink" Target="http://www.cedarcrest.edu/" TargetMode="External"/><Relationship Id="rId490" Type="http://schemas.openxmlformats.org/officeDocument/2006/relationships/hyperlink" Target="http://www.duke.edu/" TargetMode="External"/><Relationship Id="rId504" Type="http://schemas.openxmlformats.org/officeDocument/2006/relationships/hyperlink" Target="http://www.emich.edu/" TargetMode="External"/><Relationship Id="rId711" Type="http://schemas.openxmlformats.org/officeDocument/2006/relationships/hyperlink" Target="http://www.ictcollege.edu/" TargetMode="External"/><Relationship Id="rId949" Type="http://schemas.openxmlformats.org/officeDocument/2006/relationships/hyperlink" Target="http://www.mco.edu/" TargetMode="External"/><Relationship Id="rId1134" Type="http://schemas.openxmlformats.org/officeDocument/2006/relationships/hyperlink" Target="http://www.nwciowa.edu/" TargetMode="External"/><Relationship Id="rId1341" Type="http://schemas.openxmlformats.org/officeDocument/2006/relationships/hyperlink" Target="http://www.ssu.edu/" TargetMode="External"/><Relationship Id="rId1786" Type="http://schemas.openxmlformats.org/officeDocument/2006/relationships/hyperlink" Target="http://www1.umn.edu/twincities/" TargetMode="External"/><Relationship Id="rId1993" Type="http://schemas.openxmlformats.org/officeDocument/2006/relationships/hyperlink" Target="http://www.westcoastuniversity.com/" TargetMode="External"/><Relationship Id="rId78" Type="http://schemas.openxmlformats.org/officeDocument/2006/relationships/hyperlink" Target="http://www.abconline.edu/" TargetMode="External"/><Relationship Id="rId143" Type="http://schemas.openxmlformats.org/officeDocument/2006/relationships/hyperlink" Target="http://www.bellarmine.edu/" TargetMode="External"/><Relationship Id="rId350" Type="http://schemas.openxmlformats.org/officeDocument/2006/relationships/hyperlink" Target="http://www.coastal.edu/" TargetMode="External"/><Relationship Id="rId588" Type="http://schemas.openxmlformats.org/officeDocument/2006/relationships/hyperlink" Target="http://www.franklin.edu/" TargetMode="External"/><Relationship Id="rId795" Type="http://schemas.openxmlformats.org/officeDocument/2006/relationships/hyperlink" Target="http://www.kent.edu/" TargetMode="External"/><Relationship Id="rId809" Type="http://schemas.openxmlformats.org/officeDocument/2006/relationships/hyperlink" Target="http://www.kings.edu/" TargetMode="External"/><Relationship Id="rId1201" Type="http://schemas.openxmlformats.org/officeDocument/2006/relationships/hyperlink" Target="http://www.ollusa.edu/" TargetMode="External"/><Relationship Id="rId1439" Type="http://schemas.openxmlformats.org/officeDocument/2006/relationships/hyperlink" Target="http://www.southwestern.edu/" TargetMode="External"/><Relationship Id="rId1646" Type="http://schemas.openxmlformats.org/officeDocument/2006/relationships/hyperlink" Target="http://montgomery.troy.edu/" TargetMode="External"/><Relationship Id="rId1853" Type="http://schemas.openxmlformats.org/officeDocument/2006/relationships/hyperlink" Target="http://www.sc.edu/beaufort/" TargetMode="External"/><Relationship Id="rId2031" Type="http://schemas.openxmlformats.org/officeDocument/2006/relationships/hyperlink" Target="http://www.whitworth.edu/" TargetMode="External"/><Relationship Id="rId9" Type="http://schemas.openxmlformats.org/officeDocument/2006/relationships/hyperlink" Target="http://www.akbible.edu/" TargetMode="External"/><Relationship Id="rId210" Type="http://schemas.openxmlformats.org/officeDocument/2006/relationships/hyperlink" Target="http://www.brown.edu/" TargetMode="External"/><Relationship Id="rId448" Type="http://schemas.openxmlformats.org/officeDocument/2006/relationships/hyperlink" Target="http://www.dne.edu/" TargetMode="External"/><Relationship Id="rId655" Type="http://schemas.openxmlformats.org/officeDocument/2006/relationships/hyperlink" Target="http://www.hamilton.edu/" TargetMode="External"/><Relationship Id="rId862" Type="http://schemas.openxmlformats.org/officeDocument/2006/relationships/hyperlink" Target="http://www.lipscomb.edu/" TargetMode="External"/><Relationship Id="rId1078" Type="http://schemas.openxmlformats.org/officeDocument/2006/relationships/hyperlink" Target="http://www.newcollege.edu/" TargetMode="External"/><Relationship Id="rId1285" Type="http://schemas.openxmlformats.org/officeDocument/2006/relationships/hyperlink" Target="http://www.rasmussen.edu/locations/florida/" TargetMode="External"/><Relationship Id="rId1492" Type="http://schemas.openxmlformats.org/officeDocument/2006/relationships/hyperlink" Target="http://www.stedwards.edu/" TargetMode="External"/><Relationship Id="rId1506" Type="http://schemas.openxmlformats.org/officeDocument/2006/relationships/hyperlink" Target="http://www.sjca.edu/" TargetMode="External"/><Relationship Id="rId1713" Type="http://schemas.openxmlformats.org/officeDocument/2006/relationships/hyperlink" Target="http://www.uchsc.edu/" TargetMode="External"/><Relationship Id="rId1920" Type="http://schemas.openxmlformats.org/officeDocument/2006/relationships/hyperlink" Target="http://www.uwsuper.edu/" TargetMode="External"/><Relationship Id="rId294" Type="http://schemas.openxmlformats.org/officeDocument/2006/relationships/hyperlink" Target="http://www.cmich.edu/" TargetMode="External"/><Relationship Id="rId308" Type="http://schemas.openxmlformats.org/officeDocument/2006/relationships/hyperlink" Target="http://www.csu.edu/" TargetMode="External"/><Relationship Id="rId515" Type="http://schemas.openxmlformats.org/officeDocument/2006/relationships/hyperlink" Target="http://www.edgewood.edu/" TargetMode="External"/><Relationship Id="rId722" Type="http://schemas.openxmlformats.org/officeDocument/2006/relationships/hyperlink" Target="http://www.iwu.edu/" TargetMode="External"/><Relationship Id="rId1145" Type="http://schemas.openxmlformats.org/officeDocument/2006/relationships/hyperlink" Target="http://www.northwood.edu/campuses/texas/" TargetMode="External"/><Relationship Id="rId1352" Type="http://schemas.openxmlformats.org/officeDocument/2006/relationships/hyperlink" Target="http://www.sjcl.org/" TargetMode="External"/><Relationship Id="rId1797" Type="http://schemas.openxmlformats.org/officeDocument/2006/relationships/hyperlink" Target="http://www.unl.edu/" TargetMode="External"/><Relationship Id="rId89" Type="http://schemas.openxmlformats.org/officeDocument/2006/relationships/hyperlink" Target="http://www.mtsm.org/" TargetMode="External"/><Relationship Id="rId154" Type="http://schemas.openxmlformats.org/officeDocument/2006/relationships/hyperlink" Target="http://www.bennett.edu/" TargetMode="External"/><Relationship Id="rId361" Type="http://schemas.openxmlformats.org/officeDocument/2006/relationships/hyperlink" Target="http://www.fp.edu/" TargetMode="External"/><Relationship Id="rId599" Type="http://schemas.openxmlformats.org/officeDocument/2006/relationships/hyperlink" Target="http://www.fullsail.com/" TargetMode="External"/><Relationship Id="rId1005" Type="http://schemas.openxmlformats.org/officeDocument/2006/relationships/hyperlink" Target="http://www.motech.edu/" TargetMode="External"/><Relationship Id="rId1212" Type="http://schemas.openxmlformats.org/officeDocument/2006/relationships/hyperlink" Target="http://www.pacificu.edu/" TargetMode="External"/><Relationship Id="rId1657" Type="http://schemas.openxmlformats.org/officeDocument/2006/relationships/hyperlink" Target="http://www.unionky.edu/" TargetMode="External"/><Relationship Id="rId1864" Type="http://schemas.openxmlformats.org/officeDocument/2006/relationships/hyperlink" Target="http://www.usf.edu/" TargetMode="External"/><Relationship Id="rId2042" Type="http://schemas.openxmlformats.org/officeDocument/2006/relationships/hyperlink" Target="http://www.wpunj.edu/" TargetMode="External"/><Relationship Id="rId459" Type="http://schemas.openxmlformats.org/officeDocument/2006/relationships/hyperlink" Target="http://www.desales.edu/" TargetMode="External"/><Relationship Id="rId666" Type="http://schemas.openxmlformats.org/officeDocument/2006/relationships/hyperlink" Target="http://www.hsutx.edu/" TargetMode="External"/><Relationship Id="rId873" Type="http://schemas.openxmlformats.org/officeDocument/2006/relationships/hyperlink" Target="http://www.lbu.edu/" TargetMode="External"/><Relationship Id="rId1089" Type="http://schemas.openxmlformats.org/officeDocument/2006/relationships/hyperlink" Target="http://www.njit.edu/" TargetMode="External"/><Relationship Id="rId1296" Type="http://schemas.openxmlformats.org/officeDocument/2006/relationships/hyperlink" Target="http://www.reinhardt.edu/" TargetMode="External"/><Relationship Id="rId1517" Type="http://schemas.openxmlformats.org/officeDocument/2006/relationships/hyperlink" Target="http://www.stlawu.edu/" TargetMode="External"/><Relationship Id="rId1724" Type="http://schemas.openxmlformats.org/officeDocument/2006/relationships/hyperlink" Target="http://www.udmercy.edu/" TargetMode="External"/><Relationship Id="rId16" Type="http://schemas.openxmlformats.org/officeDocument/2006/relationships/hyperlink" Target="http://www.albion.edu/" TargetMode="External"/><Relationship Id="rId221" Type="http://schemas.openxmlformats.org/officeDocument/2006/relationships/hyperlink" Target="http://www.cabrini.edu/" TargetMode="External"/><Relationship Id="rId319" Type="http://schemas.openxmlformats.org/officeDocument/2006/relationships/hyperlink" Target="http://www.csi.cuny.edu/" TargetMode="External"/><Relationship Id="rId526" Type="http://schemas.openxmlformats.org/officeDocument/2006/relationships/hyperlink" Target="http://www.prescott.erau.edu/" TargetMode="External"/><Relationship Id="rId1156" Type="http://schemas.openxmlformats.org/officeDocument/2006/relationships/hyperlink" Target="http://www.oberlin.edu/" TargetMode="External"/><Relationship Id="rId1363" Type="http://schemas.openxmlformats.org/officeDocument/2006/relationships/hyperlink" Target="http://www.smfa.edu/" TargetMode="External"/><Relationship Id="rId1931" Type="http://schemas.openxmlformats.org/officeDocument/2006/relationships/hyperlink" Target="http://www.vcsu.nodak.edu/" TargetMode="External"/><Relationship Id="rId733" Type="http://schemas.openxmlformats.org/officeDocument/2006/relationships/hyperlink" Target="http://www.columbus.iupui.edu/" TargetMode="External"/><Relationship Id="rId940" Type="http://schemas.openxmlformats.org/officeDocument/2006/relationships/hyperlink" Target="http://www.mayo.edu/education/mms/" TargetMode="External"/><Relationship Id="rId1016" Type="http://schemas.openxmlformats.org/officeDocument/2006/relationships/hyperlink" Target="http://www.miis.edu/" TargetMode="External"/><Relationship Id="rId1570" Type="http://schemas.openxmlformats.org/officeDocument/2006/relationships/hyperlink" Target="http://www.txchiro.edu/" TargetMode="External"/><Relationship Id="rId1668" Type="http://schemas.openxmlformats.org/officeDocument/2006/relationships/hyperlink" Target="http://www.unity.edu/" TargetMode="External"/><Relationship Id="rId1875" Type="http://schemas.openxmlformats.org/officeDocument/2006/relationships/hyperlink" Target="http://www.uta.edu/" TargetMode="External"/><Relationship Id="rId165" Type="http://schemas.openxmlformats.org/officeDocument/2006/relationships/hyperlink" Target="http://www.bethel-college.edu/" TargetMode="External"/><Relationship Id="rId372" Type="http://schemas.openxmlformats.org/officeDocument/2006/relationships/hyperlink" Target="http://www.ndm.edu/" TargetMode="External"/><Relationship Id="rId677" Type="http://schemas.openxmlformats.org/officeDocument/2006/relationships/hyperlink" Target="http://www.hbbc.edu/" TargetMode="External"/><Relationship Id="rId800" Type="http://schemas.openxmlformats.org/officeDocument/2006/relationships/hyperlink" Target="http://www.trumbull.kent.edu/" TargetMode="External"/><Relationship Id="rId1223" Type="http://schemas.openxmlformats.org/officeDocument/2006/relationships/hyperlink" Target="http://www.pebblehills.edu/" TargetMode="External"/><Relationship Id="rId1430" Type="http://schemas.openxmlformats.org/officeDocument/2006/relationships/hyperlink" Target="http://www.sbuniv.edu/" TargetMode="External"/><Relationship Id="rId1528" Type="http://schemas.openxmlformats.org/officeDocument/2006/relationships/hyperlink" Target="http://www.smcm.edu/" TargetMode="External"/><Relationship Id="rId2053" Type="http://schemas.openxmlformats.org/officeDocument/2006/relationships/hyperlink" Target="http://www.wssu.edu/" TargetMode="External"/><Relationship Id="rId232" Type="http://schemas.openxmlformats.org/officeDocument/2006/relationships/hyperlink" Target="http://www.callutheran.edu/" TargetMode="External"/><Relationship Id="rId884" Type="http://schemas.openxmlformats.org/officeDocument/2006/relationships/hyperlink" Target="http://www.loyno.edu/" TargetMode="External"/><Relationship Id="rId1735" Type="http://schemas.openxmlformats.org/officeDocument/2006/relationships/hyperlink" Target="http://www.uhwo.hawaii.edu/" TargetMode="External"/><Relationship Id="rId1942" Type="http://schemas.openxmlformats.org/officeDocument/2006/relationships/hyperlink" Target="http://www.villanova.edu/" TargetMode="External"/><Relationship Id="rId27" Type="http://schemas.openxmlformats.org/officeDocument/2006/relationships/hyperlink" Target="http://www.alverno.edu/" TargetMode="External"/><Relationship Id="rId537" Type="http://schemas.openxmlformats.org/officeDocument/2006/relationships/hyperlink" Target="http://www.evangel.edu/" TargetMode="External"/><Relationship Id="rId744" Type="http://schemas.openxmlformats.org/officeDocument/2006/relationships/hyperlink" Target="http://www.iamd.edu/" TargetMode="External"/><Relationship Id="rId951" Type="http://schemas.openxmlformats.org/officeDocument/2006/relationships/hyperlink" Target="http://www.mcw.edu/" TargetMode="External"/><Relationship Id="rId1167" Type="http://schemas.openxmlformats.org/officeDocument/2006/relationships/hyperlink" Target="http://www.newark.ohio-state.edu/" TargetMode="External"/><Relationship Id="rId1374" Type="http://schemas.openxmlformats.org/officeDocument/2006/relationships/hyperlink" Target="http://www.sheldonjackson.edu/" TargetMode="External"/><Relationship Id="rId1581" Type="http://schemas.openxmlformats.org/officeDocument/2006/relationships/hyperlink" Target="http://www.aiboston.edu/" TargetMode="External"/><Relationship Id="rId1679" Type="http://schemas.openxmlformats.org/officeDocument/2006/relationships/hyperlink" Target="http://www.arizona.edu/" TargetMode="External"/><Relationship Id="rId1802" Type="http://schemas.openxmlformats.org/officeDocument/2006/relationships/hyperlink" Target="http://www.unr.edu/" TargetMode="External"/><Relationship Id="rId80" Type="http://schemas.openxmlformats.org/officeDocument/2006/relationships/hyperlink" Target="http://www.armstrong-u.edu/" TargetMode="External"/><Relationship Id="rId176" Type="http://schemas.openxmlformats.org/officeDocument/2006/relationships/hyperlink" Target="http://www.brcn.edu/" TargetMode="External"/><Relationship Id="rId383" Type="http://schemas.openxmlformats.org/officeDocument/2006/relationships/hyperlink" Target="http://www.cofo.edu/" TargetMode="External"/><Relationship Id="rId590" Type="http://schemas.openxmlformats.org/officeDocument/2006/relationships/hyperlink" Target="http://www.taliesin.edu/" TargetMode="External"/><Relationship Id="rId604" Type="http://schemas.openxmlformats.org/officeDocument/2006/relationships/hyperlink" Target="http://www.gia.edu/" TargetMode="External"/><Relationship Id="rId811" Type="http://schemas.openxmlformats.org/officeDocument/2006/relationships/hyperlink" Target="http://www.kirkwood.edu/" TargetMode="External"/><Relationship Id="rId1027" Type="http://schemas.openxmlformats.org/officeDocument/2006/relationships/hyperlink" Target="http://www.morgan.edu/" TargetMode="External"/><Relationship Id="rId1234" Type="http://schemas.openxmlformats.org/officeDocument/2006/relationships/hyperlink" Target="http://www.gv.psu.edu/" TargetMode="External"/><Relationship Id="rId1441" Type="http://schemas.openxmlformats.org/officeDocument/2006/relationships/hyperlink" Target="http://www.smsu.edu/" TargetMode="External"/><Relationship Id="rId1886" Type="http://schemas.openxmlformats.org/officeDocument/2006/relationships/hyperlink" Target="http://www.utmb.edu/" TargetMode="External"/><Relationship Id="rId2064" Type="http://schemas.openxmlformats.org/officeDocument/2006/relationships/hyperlink" Target="http://www.xu.edu/" TargetMode="External"/><Relationship Id="rId243" Type="http://schemas.openxmlformats.org/officeDocument/2006/relationships/hyperlink" Target="http://www.csudh.edu/" TargetMode="External"/><Relationship Id="rId450" Type="http://schemas.openxmlformats.org/officeDocument/2006/relationships/hyperlink" Target="http://www.dsc.edu/" TargetMode="External"/><Relationship Id="rId688" Type="http://schemas.openxmlformats.org/officeDocument/2006/relationships/hyperlink" Target="http://www.hws.edu/" TargetMode="External"/><Relationship Id="rId895" Type="http://schemas.openxmlformats.org/officeDocument/2006/relationships/hyperlink" Target="http://www.mac.edu/" TargetMode="External"/><Relationship Id="rId909" Type="http://schemas.openxmlformats.org/officeDocument/2006/relationships/hyperlink" Target="http://www.mnsfld.edu/" TargetMode="External"/><Relationship Id="rId1080" Type="http://schemas.openxmlformats.org/officeDocument/2006/relationships/hyperlink" Target="http://www.nec.edu/" TargetMode="External"/><Relationship Id="rId1301" Type="http://schemas.openxmlformats.org/officeDocument/2006/relationships/hyperlink" Target="http://www.rhodes.edu/" TargetMode="External"/><Relationship Id="rId1539" Type="http://schemas.openxmlformats.org/officeDocument/2006/relationships/hyperlink" Target="http://www.strayer.edu/" TargetMode="External"/><Relationship Id="rId1746" Type="http://schemas.openxmlformats.org/officeDocument/2006/relationships/hyperlink" Target="http://www.uindy.edu/" TargetMode="External"/><Relationship Id="rId1953" Type="http://schemas.openxmlformats.org/officeDocument/2006/relationships/hyperlink" Target="http://www.voorhees.edu/" TargetMode="External"/><Relationship Id="rId38" Type="http://schemas.openxmlformats.org/officeDocument/2006/relationships/hyperlink" Target="http://www.aiuniv.edu/" TargetMode="External"/><Relationship Id="rId103" Type="http://schemas.openxmlformats.org/officeDocument/2006/relationships/hyperlink" Target="http://www.aurora.edu/" TargetMode="External"/><Relationship Id="rId310" Type="http://schemas.openxmlformats.org/officeDocument/2006/relationships/hyperlink" Target="http://www.christendom.edu/" TargetMode="External"/><Relationship Id="rId548" Type="http://schemas.openxmlformats.org/officeDocument/2006/relationships/hyperlink" Target="http://www.felician.edu/" TargetMode="External"/><Relationship Id="rId755" Type="http://schemas.openxmlformats.org/officeDocument/2006/relationships/hyperlink" Target="http://www.itttech.edu/campus/" TargetMode="External"/><Relationship Id="rId962" Type="http://schemas.openxmlformats.org/officeDocument/2006/relationships/hyperlink" Target="http://www.merrimack.edu/" TargetMode="External"/><Relationship Id="rId1178" Type="http://schemas.openxmlformats.org/officeDocument/2006/relationships/hyperlink" Target="http://www.okcu.edu/" TargetMode="External"/><Relationship Id="rId1385" Type="http://schemas.openxmlformats.org/officeDocument/2006/relationships/hyperlink" Target="http://www.sl.edu/" TargetMode="External"/><Relationship Id="rId1592" Type="http://schemas.openxmlformats.org/officeDocument/2006/relationships/hyperlink" Target="http://www.wooster.edu/" TargetMode="External"/><Relationship Id="rId1606" Type="http://schemas.openxmlformats.org/officeDocument/2006/relationships/hyperlink" Target="http://www.newschool.edu/" TargetMode="External"/><Relationship Id="rId1813" Type="http://schemas.openxmlformats.org/officeDocument/2006/relationships/hyperlink" Target="http://www.unc.edu/" TargetMode="External"/><Relationship Id="rId91" Type="http://schemas.openxmlformats.org/officeDocument/2006/relationships/hyperlink" Target="http://www.acc.edu/" TargetMode="External"/><Relationship Id="rId187" Type="http://schemas.openxmlformats.org/officeDocument/2006/relationships/hyperlink" Target="http://www.the-bac.edu/" TargetMode="External"/><Relationship Id="rId394" Type="http://schemas.openxmlformats.org/officeDocument/2006/relationships/hyperlink" Target="http://www.ccis.edu/" TargetMode="External"/><Relationship Id="rId408" Type="http://schemas.openxmlformats.org/officeDocument/2006/relationships/hyperlink" Target="http://www.cord.edu/" TargetMode="External"/><Relationship Id="rId615" Type="http://schemas.openxmlformats.org/officeDocument/2006/relationships/hyperlink" Target="http://www.gatech.edu/" TargetMode="External"/><Relationship Id="rId822" Type="http://schemas.openxmlformats.org/officeDocument/2006/relationships/hyperlink" Target="http://www.lssu.edu/" TargetMode="External"/><Relationship Id="rId1038" Type="http://schemas.openxmlformats.org/officeDocument/2006/relationships/hyperlink" Target="http://www.mtmary.edu/" TargetMode="External"/><Relationship Id="rId1245" Type="http://schemas.openxmlformats.org/officeDocument/2006/relationships/hyperlink" Target="http://www.pgi.edu/" TargetMode="External"/><Relationship Id="rId1452" Type="http://schemas.openxmlformats.org/officeDocument/2006/relationships/hyperlink" Target="http://www.sau.edu/" TargetMode="External"/><Relationship Id="rId1897" Type="http://schemas.openxmlformats.org/officeDocument/2006/relationships/hyperlink" Target="http://www.usw.edu/" TargetMode="External"/><Relationship Id="rId254" Type="http://schemas.openxmlformats.org/officeDocument/2006/relationships/hyperlink" Target="http://www.csustan.edu/" TargetMode="External"/><Relationship Id="rId699" Type="http://schemas.openxmlformats.org/officeDocument/2006/relationships/hyperlink" Target="http://www.hiu.edu/" TargetMode="External"/><Relationship Id="rId1091" Type="http://schemas.openxmlformats.org/officeDocument/2006/relationships/hyperlink" Target="http://www.nmhu.edu/" TargetMode="External"/><Relationship Id="rId1105" Type="http://schemas.openxmlformats.org/officeDocument/2006/relationships/hyperlink" Target="http://www.nicholls.edu/" TargetMode="External"/><Relationship Id="rId1312" Type="http://schemas.openxmlformats.org/officeDocument/2006/relationships/hyperlink" Target="http://www.rwc.edu/" TargetMode="External"/><Relationship Id="rId1757" Type="http://schemas.openxmlformats.org/officeDocument/2006/relationships/hyperlink" Target="http://www.umm.maine.edu/" TargetMode="External"/><Relationship Id="rId1964" Type="http://schemas.openxmlformats.org/officeDocument/2006/relationships/hyperlink" Target="http://www.wartburg.edu/" TargetMode="External"/><Relationship Id="rId49" Type="http://schemas.openxmlformats.org/officeDocument/2006/relationships/hyperlink" Target="http://www.anderson.edu/" TargetMode="External"/><Relationship Id="rId114" Type="http://schemas.openxmlformats.org/officeDocument/2006/relationships/hyperlink" Target="http://www.baker.edu/visit/flint.html" TargetMode="External"/><Relationship Id="rId461" Type="http://schemas.openxmlformats.org/officeDocument/2006/relationships/hyperlink" Target="http://www.dcb.edu/" TargetMode="External"/><Relationship Id="rId559" Type="http://schemas.openxmlformats.org/officeDocument/2006/relationships/hyperlink" Target="http://www.fau.edu/" TargetMode="External"/><Relationship Id="rId766" Type="http://schemas.openxmlformats.org/officeDocument/2006/relationships/hyperlink" Target="http://www.jmls.edu/" TargetMode="External"/><Relationship Id="rId1189" Type="http://schemas.openxmlformats.org/officeDocument/2006/relationships/hyperlink" Target="http://www.omorecollege.edu/" TargetMode="External"/><Relationship Id="rId1396" Type="http://schemas.openxmlformats.org/officeDocument/2006/relationships/hyperlink" Target="http://www.soka.edu/" TargetMode="External"/><Relationship Id="rId1617" Type="http://schemas.openxmlformats.org/officeDocument/2006/relationships/hyperlink" Target="http://www.tju.edu/" TargetMode="External"/><Relationship Id="rId1824" Type="http://schemas.openxmlformats.org/officeDocument/2006/relationships/hyperlink" Target="http://www.unt.edu/" TargetMode="External"/><Relationship Id="rId198" Type="http://schemas.openxmlformats.org/officeDocument/2006/relationships/hyperlink" Target="http://www.brescia.edu/" TargetMode="External"/><Relationship Id="rId321" Type="http://schemas.openxmlformats.org/officeDocument/2006/relationships/hyperlink" Target="http://www.gc.cuny.edu/" TargetMode="External"/><Relationship Id="rId419" Type="http://schemas.openxmlformats.org/officeDocument/2006/relationships/hyperlink" Target="http://www.csld.edu/" TargetMode="External"/><Relationship Id="rId626" Type="http://schemas.openxmlformats.org/officeDocument/2006/relationships/hyperlink" Target="http://www.ggu.edu/" TargetMode="External"/><Relationship Id="rId973" Type="http://schemas.openxmlformats.org/officeDocument/2006/relationships/hyperlink" Target="http://www.mispp.edu/" TargetMode="External"/><Relationship Id="rId1049" Type="http://schemas.openxmlformats.org/officeDocument/2006/relationships/hyperlink" Target="http://www.mvnc.edu/" TargetMode="External"/><Relationship Id="rId1256" Type="http://schemas.openxmlformats.org/officeDocument/2006/relationships/hyperlink" Target="http://www.poly.edu/" TargetMode="External"/><Relationship Id="rId2002" Type="http://schemas.openxmlformats.org/officeDocument/2006/relationships/hyperlink" Target="http://www.wmdc.edu/" TargetMode="External"/><Relationship Id="rId833" Type="http://schemas.openxmlformats.org/officeDocument/2006/relationships/hyperlink" Target="http://www.lasell.edu/" TargetMode="External"/><Relationship Id="rId1116" Type="http://schemas.openxmlformats.org/officeDocument/2006/relationships/hyperlink" Target="http://www.ndsu.nodak.edu/" TargetMode="External"/><Relationship Id="rId1463" Type="http://schemas.openxmlformats.org/officeDocument/2006/relationships/hyperlink" Target="http://www.oswego.edu/" TargetMode="External"/><Relationship Id="rId1670" Type="http://schemas.openxmlformats.org/officeDocument/2006/relationships/hyperlink" Target="http://www.uakron.edu/" TargetMode="External"/><Relationship Id="rId1768" Type="http://schemas.openxmlformats.org/officeDocument/2006/relationships/hyperlink" Target="http://www.umm.edu/" TargetMode="External"/><Relationship Id="rId265" Type="http://schemas.openxmlformats.org/officeDocument/2006/relationships/hyperlink" Target="http://www.canisius.edu/" TargetMode="External"/><Relationship Id="rId472" Type="http://schemas.openxmlformats.org/officeDocument/2006/relationships/hyperlink" Target="http://www.pom.devry.edu/" TargetMode="External"/><Relationship Id="rId900" Type="http://schemas.openxmlformats.org/officeDocument/2006/relationships/hyperlink" Target="http://www.meca.edu/" TargetMode="External"/><Relationship Id="rId1323" Type="http://schemas.openxmlformats.org/officeDocument/2006/relationships/hyperlink" Target="http://www.roosevelt.edu/" TargetMode="External"/><Relationship Id="rId1530" Type="http://schemas.openxmlformats.org/officeDocument/2006/relationships/hyperlink" Target="http://www.stmarytx.edu/" TargetMode="External"/><Relationship Id="rId1628" Type="http://schemas.openxmlformats.org/officeDocument/2006/relationships/hyperlink" Target="http://www.towson.edu/" TargetMode="External"/><Relationship Id="rId1975" Type="http://schemas.openxmlformats.org/officeDocument/2006/relationships/hyperlink" Target="http://www.waynesburg.edu/" TargetMode="External"/><Relationship Id="rId125" Type="http://schemas.openxmlformats.org/officeDocument/2006/relationships/hyperlink" Target="http://www.bbcnet.edu/" TargetMode="External"/><Relationship Id="rId332" Type="http://schemas.openxmlformats.org/officeDocument/2006/relationships/hyperlink" Target="http://www.cgu.edu/" TargetMode="External"/><Relationship Id="rId777" Type="http://schemas.openxmlformats.org/officeDocument/2006/relationships/hyperlink" Target="http://www.jonesinternational.edu/" TargetMode="External"/><Relationship Id="rId984" Type="http://schemas.openxmlformats.org/officeDocument/2006/relationships/hyperlink" Target="http://www.midwestern.edu/" TargetMode="External"/><Relationship Id="rId1835" Type="http://schemas.openxmlformats.org/officeDocument/2006/relationships/hyperlink" Target="http://www.upb.pitt.edu/" TargetMode="External"/><Relationship Id="rId2013" Type="http://schemas.openxmlformats.org/officeDocument/2006/relationships/hyperlink" Target="http://www.wlsc.wvnet.edu/" TargetMode="External"/><Relationship Id="rId637" Type="http://schemas.openxmlformats.org/officeDocument/2006/relationships/hyperlink" Target="http://www.graceu.edu/" TargetMode="External"/><Relationship Id="rId844" Type="http://schemas.openxmlformats.org/officeDocument/2006/relationships/hyperlink" Target="http://www.lrc.edu/" TargetMode="External"/><Relationship Id="rId1267" Type="http://schemas.openxmlformats.org/officeDocument/2006/relationships/hyperlink" Target="http://www.preston.edu/" TargetMode="External"/><Relationship Id="rId1474" Type="http://schemas.openxmlformats.org/officeDocument/2006/relationships/hyperlink" Target="http://www.cobleskill.edu/" TargetMode="External"/><Relationship Id="rId1681" Type="http://schemas.openxmlformats.org/officeDocument/2006/relationships/hyperlink" Target="http://www.ualr.edu/" TargetMode="External"/><Relationship Id="rId1902" Type="http://schemas.openxmlformats.org/officeDocument/2006/relationships/hyperlink" Target="http://www.virginia.edu/" TargetMode="External"/><Relationship Id="rId276" Type="http://schemas.openxmlformats.org/officeDocument/2006/relationships/hyperlink" Target="http://www.cc.edu/" TargetMode="External"/><Relationship Id="rId483" Type="http://schemas.openxmlformats.org/officeDocument/2006/relationships/hyperlink" Target="http://www.dominion.edu/" TargetMode="External"/><Relationship Id="rId690" Type="http://schemas.openxmlformats.org/officeDocument/2006/relationships/hyperlink" Target="http://www.hodges.edu/" TargetMode="External"/><Relationship Id="rId704" Type="http://schemas.openxmlformats.org/officeDocument/2006/relationships/hyperlink" Target="http://www.humboldt.edu/" TargetMode="External"/><Relationship Id="rId911" Type="http://schemas.openxmlformats.org/officeDocument/2006/relationships/hyperlink" Target="http://www.marian.edu/" TargetMode="External"/><Relationship Id="rId1127" Type="http://schemas.openxmlformats.org/officeDocument/2006/relationships/hyperlink" Target="http://www.northface.edu/" TargetMode="External"/><Relationship Id="rId1334" Type="http://schemas.openxmlformats.org/officeDocument/2006/relationships/hyperlink" Target="http://www.sacredheart.edu/" TargetMode="External"/><Relationship Id="rId1541" Type="http://schemas.openxmlformats.org/officeDocument/2006/relationships/hyperlink" Target="http://www.stu.edu/" TargetMode="External"/><Relationship Id="rId1779" Type="http://schemas.openxmlformats.org/officeDocument/2006/relationships/hyperlink" Target="http://www.miami.edu/" TargetMode="External"/><Relationship Id="rId1986" Type="http://schemas.openxmlformats.org/officeDocument/2006/relationships/hyperlink" Target="http://www.wit.edu/" TargetMode="External"/><Relationship Id="rId40" Type="http://schemas.openxmlformats.org/officeDocument/2006/relationships/hyperlink" Target="http://www.aiu-online.com/" TargetMode="External"/><Relationship Id="rId136" Type="http://schemas.openxmlformats.org/officeDocument/2006/relationships/hyperlink" Target="http://www.bastyr.edu/" TargetMode="External"/><Relationship Id="rId343" Type="http://schemas.openxmlformats.org/officeDocument/2006/relationships/hyperlink" Target="http://www.cleary.edu/" TargetMode="External"/><Relationship Id="rId550" Type="http://schemas.openxmlformats.org/officeDocument/2006/relationships/hyperlink" Target="http://www.ferrum.edu/" TargetMode="External"/><Relationship Id="rId788" Type="http://schemas.openxmlformats.org/officeDocument/2006/relationships/hyperlink" Target="http://www.kean.edu/" TargetMode="External"/><Relationship Id="rId995" Type="http://schemas.openxmlformats.org/officeDocument/2006/relationships/hyperlink" Target="http://www.mcad.edu/" TargetMode="External"/><Relationship Id="rId1180" Type="http://schemas.openxmlformats.org/officeDocument/2006/relationships/hyperlink" Target="http://www.okstate.edu/" TargetMode="External"/><Relationship Id="rId1401" Type="http://schemas.openxmlformats.org/officeDocument/2006/relationships/hyperlink" Target="http://www.southeasternbaptist.edu/" TargetMode="External"/><Relationship Id="rId1639" Type="http://schemas.openxmlformats.org/officeDocument/2006/relationships/hyperlink" Target="http://www.tiu.edu/excel/index.html" TargetMode="External"/><Relationship Id="rId1846" Type="http://schemas.openxmlformats.org/officeDocument/2006/relationships/hyperlink" Target="http://www.usfca.edu/" TargetMode="External"/><Relationship Id="rId2024" Type="http://schemas.openxmlformats.org/officeDocument/2006/relationships/hyperlink" Target="http://www.wvwc.edu/" TargetMode="External"/><Relationship Id="rId203" Type="http://schemas.openxmlformats.org/officeDocument/2006/relationships/hyperlink" Target="http://www.bridgewater.edu/" TargetMode="External"/><Relationship Id="rId648" Type="http://schemas.openxmlformats.org/officeDocument/2006/relationships/hyperlink" Target="http://www.greenville.edu/" TargetMode="External"/><Relationship Id="rId855" Type="http://schemas.openxmlformats.org/officeDocument/2006/relationships/hyperlink" Target="http://www.lmunet.edu/" TargetMode="External"/><Relationship Id="rId1040" Type="http://schemas.openxmlformats.org/officeDocument/2006/relationships/hyperlink" Target="http://www.mountolivecollege.edu/" TargetMode="External"/><Relationship Id="rId1278" Type="http://schemas.openxmlformats.org/officeDocument/2006/relationships/hyperlink" Target="http://www.quinnipiac.edu/" TargetMode="External"/><Relationship Id="rId1485" Type="http://schemas.openxmlformats.org/officeDocument/2006/relationships/hyperlink" Target="http://www.sunycentral.edu/" TargetMode="External"/><Relationship Id="rId1692" Type="http://schemas.openxmlformats.org/officeDocument/2006/relationships/hyperlink" Target="http://www.ucla.edu/" TargetMode="External"/><Relationship Id="rId1706" Type="http://schemas.openxmlformats.org/officeDocument/2006/relationships/hyperlink" Target="http://www.uchaswv.edu/" TargetMode="External"/><Relationship Id="rId1913" Type="http://schemas.openxmlformats.org/officeDocument/2006/relationships/hyperlink" Target="http://www.uwm.edu/" TargetMode="External"/><Relationship Id="rId287" Type="http://schemas.openxmlformats.org/officeDocument/2006/relationships/hyperlink" Target="http://www.humanpsych.edu/" TargetMode="External"/><Relationship Id="rId410" Type="http://schemas.openxmlformats.org/officeDocument/2006/relationships/hyperlink" Target="http://www.cune.edu/" TargetMode="External"/><Relationship Id="rId494" Type="http://schemas.openxmlformats.org/officeDocument/2006/relationships/hyperlink" Target="http://www.earlham.edu/" TargetMode="External"/><Relationship Id="rId508" Type="http://schemas.openxmlformats.org/officeDocument/2006/relationships/hyperlink" Target="http://www.evms.edu/" TargetMode="External"/><Relationship Id="rId715" Type="http://schemas.openxmlformats.org/officeDocument/2006/relationships/hyperlink" Target="http://www.ic.edu/" TargetMode="External"/><Relationship Id="rId922" Type="http://schemas.openxmlformats.org/officeDocument/2006/relationships/hyperlink" Target="http://www.mbc.edu/" TargetMode="External"/><Relationship Id="rId1138" Type="http://schemas.openxmlformats.org/officeDocument/2006/relationships/hyperlink" Target="http://www.nsula.edu/" TargetMode="External"/><Relationship Id="rId1345" Type="http://schemas.openxmlformats.org/officeDocument/2006/relationships/hyperlink" Target="http://www.samuelmerritt.edu/" TargetMode="External"/><Relationship Id="rId1552" Type="http://schemas.openxmlformats.org/officeDocument/2006/relationships/hyperlink" Target="http://www.talladega.edu/" TargetMode="External"/><Relationship Id="rId1997" Type="http://schemas.openxmlformats.org/officeDocument/2006/relationships/hyperlink" Target="http://www.wcsu.ctstateu.edu/" TargetMode="External"/><Relationship Id="rId147" Type="http://schemas.openxmlformats.org/officeDocument/2006/relationships/hyperlink" Target="http://www.belmont.edu/" TargetMode="External"/><Relationship Id="rId354" Type="http://schemas.openxmlformats.org/officeDocument/2006/relationships/hyperlink" Target="http://www.colby.edu/" TargetMode="External"/><Relationship Id="rId799" Type="http://schemas.openxmlformats.org/officeDocument/2006/relationships/hyperlink" Target="http://www.stark.kent.edu/" TargetMode="External"/><Relationship Id="rId1191" Type="http://schemas.openxmlformats.org/officeDocument/2006/relationships/hyperlink" Target="http://www.ocac.edu/" TargetMode="External"/><Relationship Id="rId1205" Type="http://schemas.openxmlformats.org/officeDocument/2006/relationships/hyperlink" Target="http://www.pacifica.edu/" TargetMode="External"/><Relationship Id="rId1857" Type="http://schemas.openxmlformats.org/officeDocument/2006/relationships/hyperlink" Target="http://www.uscsumter.edu/" TargetMode="External"/><Relationship Id="rId2035" Type="http://schemas.openxmlformats.org/officeDocument/2006/relationships/hyperlink" Target="http://www.ccc.edu/wright/" TargetMode="External"/><Relationship Id="rId51" Type="http://schemas.openxmlformats.org/officeDocument/2006/relationships/hyperlink" Target="http://www.andoncollege.org/" TargetMode="External"/><Relationship Id="rId561" Type="http://schemas.openxmlformats.org/officeDocument/2006/relationships/hyperlink" Target="http://www.fccj.org/" TargetMode="External"/><Relationship Id="rId659" Type="http://schemas.openxmlformats.org/officeDocument/2006/relationships/hyperlink" Target="http://www.hampshire.edu/" TargetMode="External"/><Relationship Id="rId866" Type="http://schemas.openxmlformats.org/officeDocument/2006/relationships/hyperlink" Target="http://www.llu.edu/" TargetMode="External"/><Relationship Id="rId1289" Type="http://schemas.openxmlformats.org/officeDocument/2006/relationships/hyperlink" Target="http://www.rasmussen.edu/locations/wisconsin/" TargetMode="External"/><Relationship Id="rId1412" Type="http://schemas.openxmlformats.org/officeDocument/2006/relationships/hyperlink" Target="http://www.sciarc.edu/" TargetMode="External"/><Relationship Id="rId1496" Type="http://schemas.openxmlformats.org/officeDocument/2006/relationships/hyperlink" Target="http://www.sterling.edu/" TargetMode="External"/><Relationship Id="rId1717" Type="http://schemas.openxmlformats.org/officeDocument/2006/relationships/hyperlink" Target="http://www.stamford.uconn.edu/" TargetMode="External"/><Relationship Id="rId1924" Type="http://schemas.openxmlformats.org/officeDocument/2006/relationships/hyperlink" Target="http://www.urbana.edu/" TargetMode="External"/><Relationship Id="rId214" Type="http://schemas.openxmlformats.org/officeDocument/2006/relationships/hyperlink" Target="http://www.bryant.edu/" TargetMode="External"/><Relationship Id="rId298" Type="http://schemas.openxmlformats.org/officeDocument/2006/relationships/hyperlink" Target="http://www.csc.edu/" TargetMode="External"/><Relationship Id="rId421" Type="http://schemas.openxmlformats.org/officeDocument/2006/relationships/hyperlink" Target="http://www.cornell-iowa.edu/" TargetMode="External"/><Relationship Id="rId519" Type="http://schemas.openxmlformats.org/officeDocument/2006/relationships/hyperlink" Target="http://www.ecsu.edu/" TargetMode="External"/><Relationship Id="rId1051" Type="http://schemas.openxmlformats.org/officeDocument/2006/relationships/hyperlink" Target="http://www.multnomah.edu/" TargetMode="External"/><Relationship Id="rId1149" Type="http://schemas.openxmlformats.org/officeDocument/2006/relationships/hyperlink" Target="http://www.ndnu.edu/" TargetMode="External"/><Relationship Id="rId1356" Type="http://schemas.openxmlformats.org/officeDocument/2006/relationships/hyperlink" Target="http://www.slc.edu/" TargetMode="External"/><Relationship Id="rId158" Type="http://schemas.openxmlformats.org/officeDocument/2006/relationships/hyperlink" Target="http://www.berean.edu/" TargetMode="External"/><Relationship Id="rId726" Type="http://schemas.openxmlformats.org/officeDocument/2006/relationships/hyperlink" Target="http://www.indstate.edu/" TargetMode="External"/><Relationship Id="rId933" Type="http://schemas.openxmlformats.org/officeDocument/2006/relationships/hyperlink" Target="http://www.massart.edu/" TargetMode="External"/><Relationship Id="rId1009" Type="http://schemas.openxmlformats.org/officeDocument/2006/relationships/hyperlink" Target="http://www.molloy.edu/" TargetMode="External"/><Relationship Id="rId1563" Type="http://schemas.openxmlformats.org/officeDocument/2006/relationships/hyperlink" Target="http://www.tamiu.edu/" TargetMode="External"/><Relationship Id="rId1770" Type="http://schemas.openxmlformats.org/officeDocument/2006/relationships/hyperlink" Target="http://www.umuc.edu/" TargetMode="External"/><Relationship Id="rId1868" Type="http://schemas.openxmlformats.org/officeDocument/2006/relationships/hyperlink" Target="http://www.utampa.edu/" TargetMode="External"/><Relationship Id="rId62" Type="http://schemas.openxmlformats.org/officeDocument/2006/relationships/hyperlink" Target="http://www.appstate.edu/" TargetMode="External"/><Relationship Id="rId365" Type="http://schemas.openxmlformats.org/officeDocument/2006/relationships/hyperlink" Target="http://www.cofc.edu/" TargetMode="External"/><Relationship Id="rId572" Type="http://schemas.openxmlformats.org/officeDocument/2006/relationships/hyperlink" Target="http://www.fuom.us/" TargetMode="External"/><Relationship Id="rId1216" Type="http://schemas.openxmlformats.org/officeDocument/2006/relationships/hyperlink" Target="http://www.palmbeachstate.edu/" TargetMode="External"/><Relationship Id="rId1423" Type="http://schemas.openxmlformats.org/officeDocument/2006/relationships/hyperlink" Target="http://www.suno.edu/" TargetMode="External"/><Relationship Id="rId1630" Type="http://schemas.openxmlformats.org/officeDocument/2006/relationships/hyperlink" Target="http://www.trevecca.edu/" TargetMode="External"/><Relationship Id="rId2046" Type="http://schemas.openxmlformats.org/officeDocument/2006/relationships/hyperlink" Target="http://www.williamtyndale.edu/" TargetMode="External"/><Relationship Id="rId225" Type="http://schemas.openxmlformats.org/officeDocument/2006/relationships/hyperlink" Target="http://www.cchs.edu/" TargetMode="External"/><Relationship Id="rId432" Type="http://schemas.openxmlformats.org/officeDocument/2006/relationships/hyperlink" Target="http://www.cumberland.edu/" TargetMode="External"/><Relationship Id="rId877" Type="http://schemas.openxmlformats.org/officeDocument/2006/relationships/hyperlink" Target="http://www.lsue.edu/" TargetMode="External"/><Relationship Id="rId1062" Type="http://schemas.openxmlformats.org/officeDocument/2006/relationships/hyperlink" Target="http://www.national.chiropractic.edu/" TargetMode="External"/><Relationship Id="rId1728" Type="http://schemas.openxmlformats.org/officeDocument/2006/relationships/hyperlink" Target="http://www.ufl.edu/" TargetMode="External"/><Relationship Id="rId1935" Type="http://schemas.openxmlformats.org/officeDocument/2006/relationships/hyperlink" Target="http://www.vandercook.edu/" TargetMode="External"/><Relationship Id="rId737" Type="http://schemas.openxmlformats.org/officeDocument/2006/relationships/hyperlink" Target="http://www.indiana.edu/" TargetMode="External"/><Relationship Id="rId944" Type="http://schemas.openxmlformats.org/officeDocument/2006/relationships/hyperlink" Target="http://www.mcneese.edu/" TargetMode="External"/><Relationship Id="rId1367" Type="http://schemas.openxmlformats.org/officeDocument/2006/relationships/hyperlink" Target="http://www.spu.edu/" TargetMode="External"/><Relationship Id="rId1574" Type="http://schemas.openxmlformats.org/officeDocument/2006/relationships/hyperlink" Target="http://www.txlutheran.edu/" TargetMode="External"/><Relationship Id="rId1781" Type="http://schemas.openxmlformats.org/officeDocument/2006/relationships/hyperlink" Target="http://www.umd.umich.edu/" TargetMode="External"/><Relationship Id="rId73" Type="http://schemas.openxmlformats.org/officeDocument/2006/relationships/hyperlink" Target="http://www.astate.edu/" TargetMode="External"/><Relationship Id="rId169" Type="http://schemas.openxmlformats.org/officeDocument/2006/relationships/hyperlink" Target="http://www.bethel.edu/" TargetMode="External"/><Relationship Id="rId376" Type="http://schemas.openxmlformats.org/officeDocument/2006/relationships/hyperlink" Target="http://www.st-elizabeth.edu/" TargetMode="External"/><Relationship Id="rId583" Type="http://schemas.openxmlformats.org/officeDocument/2006/relationships/hyperlink" Target="http://www.fmarion.edu/" TargetMode="External"/><Relationship Id="rId790" Type="http://schemas.openxmlformats.org/officeDocument/2006/relationships/hyperlink" Target="http://www.keene.edu/" TargetMode="External"/><Relationship Id="rId804" Type="http://schemas.openxmlformats.org/officeDocument/2006/relationships/hyperlink" Target="http://www.kwc.edu/" TargetMode="External"/><Relationship Id="rId1227" Type="http://schemas.openxmlformats.org/officeDocument/2006/relationships/hyperlink" Target="http://www.psu.edu/" TargetMode="External"/><Relationship Id="rId1434" Type="http://schemas.openxmlformats.org/officeDocument/2006/relationships/hyperlink" Target="http://www.soulsociety.com/swcc.html" TargetMode="External"/><Relationship Id="rId1641" Type="http://schemas.openxmlformats.org/officeDocument/2006/relationships/hyperlink" Target="http://www.trinity.edu/" TargetMode="External"/><Relationship Id="rId1879" Type="http://schemas.openxmlformats.org/officeDocument/2006/relationships/hyperlink" Target="http://www.utep.edu/" TargetMode="External"/><Relationship Id="rId2057" Type="http://schemas.openxmlformats.org/officeDocument/2006/relationships/hyperlink" Target="http://www.wittenberg.edu/" TargetMode="External"/><Relationship Id="rId4" Type="http://schemas.openxmlformats.org/officeDocument/2006/relationships/hyperlink" Target="http://www.adrian.edu/" TargetMode="External"/><Relationship Id="rId236" Type="http://schemas.openxmlformats.org/officeDocument/2006/relationships/hyperlink" Target="http://www.cspp.edu/catalog/8.htm" TargetMode="External"/><Relationship Id="rId443" Type="http://schemas.openxmlformats.org/officeDocument/2006/relationships/hyperlink" Target="http://www.darton.edu/" TargetMode="External"/><Relationship Id="rId650" Type="http://schemas.openxmlformats.org/officeDocument/2006/relationships/hyperlink" Target="http://www.gcc.edu/" TargetMode="External"/><Relationship Id="rId888" Type="http://schemas.openxmlformats.org/officeDocument/2006/relationships/hyperlink" Target="http://www.luther.edu/" TargetMode="External"/><Relationship Id="rId1073" Type="http://schemas.openxmlformats.org/officeDocument/2006/relationships/hyperlink" Target="http://www.nechristian.edu/" TargetMode="External"/><Relationship Id="rId1280" Type="http://schemas.openxmlformats.org/officeDocument/2006/relationships/hyperlink" Target="http://www.ramapo.edu/" TargetMode="External"/><Relationship Id="rId1501" Type="http://schemas.openxmlformats.org/officeDocument/2006/relationships/hyperlink" Target="http://www.sfcpa.edu/" TargetMode="External"/><Relationship Id="rId1739" Type="http://schemas.openxmlformats.org/officeDocument/2006/relationships/hyperlink" Target="http://www.dt.uh.edu/" TargetMode="External"/><Relationship Id="rId1946" Type="http://schemas.openxmlformats.org/officeDocument/2006/relationships/hyperlink" Target="http://www.viu.edu/" TargetMode="External"/><Relationship Id="rId303" Type="http://schemas.openxmlformats.org/officeDocument/2006/relationships/hyperlink" Target="http://www.csuniv.edu/" TargetMode="External"/><Relationship Id="rId748" Type="http://schemas.openxmlformats.org/officeDocument/2006/relationships/hyperlink" Target="http://www.iona.edu/" TargetMode="External"/><Relationship Id="rId955" Type="http://schemas.openxmlformats.org/officeDocument/2006/relationships/hyperlink" Target="http://www.menlo.edu/" TargetMode="External"/><Relationship Id="rId1140" Type="http://schemas.openxmlformats.org/officeDocument/2006/relationships/hyperlink" Target="http://www.nwmissouri.edu/" TargetMode="External"/><Relationship Id="rId1378" Type="http://schemas.openxmlformats.org/officeDocument/2006/relationships/hyperlink" Target="http://www.shimer.edu/" TargetMode="External"/><Relationship Id="rId1585" Type="http://schemas.openxmlformats.org/officeDocument/2006/relationships/hyperlink" Target="http://www.cua.edu/" TargetMode="External"/><Relationship Id="rId1792" Type="http://schemas.openxmlformats.org/officeDocument/2006/relationships/hyperlink" Target="http://www.umobile.edu/" TargetMode="External"/><Relationship Id="rId1806" Type="http://schemas.openxmlformats.org/officeDocument/2006/relationships/hyperlink" Target="http://www.unh.edu/unhm/" TargetMode="External"/><Relationship Id="rId84" Type="http://schemas.openxmlformats.org/officeDocument/2006/relationships/hyperlink" Target="http://www.aich.artinstitutes.edu/" TargetMode="External"/><Relationship Id="rId387" Type="http://schemas.openxmlformats.org/officeDocument/2006/relationships/hyperlink" Target="http://www.cc.colorado.edu/" TargetMode="External"/><Relationship Id="rId510" Type="http://schemas.openxmlformats.org/officeDocument/2006/relationships/hyperlink" Target="http://www.esu.edu/" TargetMode="External"/><Relationship Id="rId594" Type="http://schemas.openxmlformats.org/officeDocument/2006/relationships/hyperlink" Target="http://www.fwbbc.edu/" TargetMode="External"/><Relationship Id="rId608" Type="http://schemas.openxmlformats.org/officeDocument/2006/relationships/hyperlink" Target="http://www.georgetowncollege.edu/" TargetMode="External"/><Relationship Id="rId815" Type="http://schemas.openxmlformats.org/officeDocument/2006/relationships/hyperlink" Target="http://www.limcollege.edu/" TargetMode="External"/><Relationship Id="rId1238" Type="http://schemas.openxmlformats.org/officeDocument/2006/relationships/hyperlink" Target="http://www.pepperdine.edu/" TargetMode="External"/><Relationship Id="rId1445" Type="http://schemas.openxmlformats.org/officeDocument/2006/relationships/hyperlink" Target="http://www.southwest.edu/" TargetMode="External"/><Relationship Id="rId1652" Type="http://schemas.openxmlformats.org/officeDocument/2006/relationships/hyperlink" Target="http://www.tuiu.edu/" TargetMode="External"/><Relationship Id="rId2068" Type="http://schemas.openxmlformats.org/officeDocument/2006/relationships/hyperlink" Target="http://www.york.edu/" TargetMode="External"/><Relationship Id="rId247" Type="http://schemas.openxmlformats.org/officeDocument/2006/relationships/hyperlink" Target="http://www.csulb.edu/" TargetMode="External"/><Relationship Id="rId899" Type="http://schemas.openxmlformats.org/officeDocument/2006/relationships/hyperlink" Target="http://www.mum.edu/" TargetMode="External"/><Relationship Id="rId1000" Type="http://schemas.openxmlformats.org/officeDocument/2006/relationships/hyperlink" Target="http://www.msstate.edu/" TargetMode="External"/><Relationship Id="rId1084" Type="http://schemas.openxmlformats.org/officeDocument/2006/relationships/hyperlink" Target="http://www.suffolk.edu/nesad/" TargetMode="External"/><Relationship Id="rId1305" Type="http://schemas.openxmlformats.org/officeDocument/2006/relationships/hyperlink" Target="http://www.ringling.edu/" TargetMode="External"/><Relationship Id="rId1957" Type="http://schemas.openxmlformats.org/officeDocument/2006/relationships/hyperlink" Target="http://www.waldenu.edu/" TargetMode="External"/><Relationship Id="rId107" Type="http://schemas.openxmlformats.org/officeDocument/2006/relationships/hyperlink" Target="http://www.avemaria.edu/" TargetMode="External"/><Relationship Id="rId454" Type="http://schemas.openxmlformats.org/officeDocument/2006/relationships/hyperlink" Target="http://www.denison.edu/" TargetMode="External"/><Relationship Id="rId661" Type="http://schemas.openxmlformats.org/officeDocument/2006/relationships/hyperlink" Target="http://www.hamptonu.edu/" TargetMode="External"/><Relationship Id="rId759" Type="http://schemas.openxmlformats.org/officeDocument/2006/relationships/hyperlink" Target="http://www.ju.edu/" TargetMode="External"/><Relationship Id="rId966" Type="http://schemas.openxmlformats.org/officeDocument/2006/relationships/hyperlink" Target="http://www.mscd.edu/" TargetMode="External"/><Relationship Id="rId1291" Type="http://schemas.openxmlformats.org/officeDocument/2006/relationships/hyperlink" Target="http://www.reformed.edu/" TargetMode="External"/><Relationship Id="rId1389" Type="http://schemas.openxmlformats.org/officeDocument/2006/relationships/hyperlink" Target="http://www.simpson.edu/" TargetMode="External"/><Relationship Id="rId1512" Type="http://schemas.openxmlformats.org/officeDocument/2006/relationships/hyperlink" Target="http://www.saintjoe.edu/" TargetMode="External"/><Relationship Id="rId1596" Type="http://schemas.openxmlformats.org/officeDocument/2006/relationships/hyperlink" Target="http://www.defiance.edu/" TargetMode="External"/><Relationship Id="rId1817" Type="http://schemas.openxmlformats.org/officeDocument/2006/relationships/hyperlink" Target="http://www.uncwil.edu/" TargetMode="External"/><Relationship Id="rId11" Type="http://schemas.openxmlformats.org/officeDocument/2006/relationships/hyperlink" Target="http://www.acp.edu/" TargetMode="External"/><Relationship Id="rId314" Type="http://schemas.openxmlformats.org/officeDocument/2006/relationships/hyperlink" Target="http://www.biblecollege.edu/" TargetMode="External"/><Relationship Id="rId398" Type="http://schemas.openxmlformats.org/officeDocument/2006/relationships/hyperlink" Target="http://www.columbiasouthern.edu/" TargetMode="External"/><Relationship Id="rId521" Type="http://schemas.openxmlformats.org/officeDocument/2006/relationships/hyperlink" Target="http://www.elmhurst.edu/" TargetMode="External"/><Relationship Id="rId619" Type="http://schemas.openxmlformats.org/officeDocument/2006/relationships/hyperlink" Target="http://www.gsw.edu/" TargetMode="External"/><Relationship Id="rId1151" Type="http://schemas.openxmlformats.org/officeDocument/2006/relationships/hyperlink" Target="http://www.nyackcollege.edu/" TargetMode="External"/><Relationship Id="rId1249" Type="http://schemas.openxmlformats.org/officeDocument/2006/relationships/hyperlink" Target="http://www.pc.edu/" TargetMode="External"/><Relationship Id="rId95" Type="http://schemas.openxmlformats.org/officeDocument/2006/relationships/hyperlink" Target="http://www.atlanticuniv.edu/" TargetMode="External"/><Relationship Id="rId160" Type="http://schemas.openxmlformats.org/officeDocument/2006/relationships/hyperlink" Target="http://www.berne.edu/" TargetMode="External"/><Relationship Id="rId826" Type="http://schemas.openxmlformats.org/officeDocument/2006/relationships/hyperlink" Target="http://www.lambuth.edu/" TargetMode="External"/><Relationship Id="rId1011" Type="http://schemas.openxmlformats.org/officeDocument/2006/relationships/hyperlink" Target="http://www.montana.edu/" TargetMode="External"/><Relationship Id="rId1109" Type="http://schemas.openxmlformats.org/officeDocument/2006/relationships/hyperlink" Target="http://www.nccu.edu/" TargetMode="External"/><Relationship Id="rId1456" Type="http://schemas.openxmlformats.org/officeDocument/2006/relationships/hyperlink" Target="http://www.stanford.edu/" TargetMode="External"/><Relationship Id="rId1663" Type="http://schemas.openxmlformats.org/officeDocument/2006/relationships/hyperlink" Target="http://www.usiu.edu/" TargetMode="External"/><Relationship Id="rId1870" Type="http://schemas.openxmlformats.org/officeDocument/2006/relationships/hyperlink" Target="http://www.utk.edu/" TargetMode="External"/><Relationship Id="rId1968" Type="http://schemas.openxmlformats.org/officeDocument/2006/relationships/hyperlink" Target="http://www.washcoll.edu/" TargetMode="External"/><Relationship Id="rId258" Type="http://schemas.openxmlformats.org/officeDocument/2006/relationships/hyperlink" Target="http://www.ccsj.edu/" TargetMode="External"/><Relationship Id="rId465" Type="http://schemas.openxmlformats.org/officeDocument/2006/relationships/hyperlink" Target="http://www.chi.devry.edu/" TargetMode="External"/><Relationship Id="rId672" Type="http://schemas.openxmlformats.org/officeDocument/2006/relationships/hyperlink" Target="http://www.harvard.edu/" TargetMode="External"/><Relationship Id="rId1095" Type="http://schemas.openxmlformats.org/officeDocument/2006/relationships/hyperlink" Target="http://www.nyaa.edu/" TargetMode="External"/><Relationship Id="rId1316" Type="http://schemas.openxmlformats.org/officeDocument/2006/relationships/hyperlink" Target="http://www.rockhurst.edu/" TargetMode="External"/><Relationship Id="rId1523" Type="http://schemas.openxmlformats.org/officeDocument/2006/relationships/hyperlink" Target="http://www.stmartin.edu/" TargetMode="External"/><Relationship Id="rId1730" Type="http://schemas.openxmlformats.org/officeDocument/2006/relationships/hyperlink" Target="http://www.ugf.edu/" TargetMode="External"/><Relationship Id="rId22" Type="http://schemas.openxmlformats.org/officeDocument/2006/relationships/hyperlink" Target="http://www.alc.edu/" TargetMode="External"/><Relationship Id="rId118" Type="http://schemas.openxmlformats.org/officeDocument/2006/relationships/hyperlink" Target="http://www.baker.edu/visit/porthuron.html" TargetMode="External"/><Relationship Id="rId325" Type="http://schemas.openxmlformats.org/officeDocument/2006/relationships/hyperlink" Target="http://www.mec.cuny.edu/" TargetMode="External"/><Relationship Id="rId532" Type="http://schemas.openxmlformats.org/officeDocument/2006/relationships/hyperlink" Target="http://www.emory.edu/" TargetMode="External"/><Relationship Id="rId977" Type="http://schemas.openxmlformats.org/officeDocument/2006/relationships/hyperlink" Target="http://www.concentric.net/~rkriesel/MBC/MBC.shtml" TargetMode="External"/><Relationship Id="rId1162" Type="http://schemas.openxmlformats.org/officeDocument/2006/relationships/hyperlink" Target="http://www.onu.edu/" TargetMode="External"/><Relationship Id="rId1828" Type="http://schemas.openxmlformats.org/officeDocument/2006/relationships/hyperlink" Target="http://www.ou.edu/" TargetMode="External"/><Relationship Id="rId2006" Type="http://schemas.openxmlformats.org/officeDocument/2006/relationships/hyperlink" Target="http://www.wou.edu/" TargetMode="External"/><Relationship Id="rId171" Type="http://schemas.openxmlformats.org/officeDocument/2006/relationships/hyperlink" Target="http://www.biola.edu/" TargetMode="External"/><Relationship Id="rId837" Type="http://schemas.openxmlformats.org/officeDocument/2006/relationships/hyperlink" Target="http://www.lawrence.edu/" TargetMode="External"/><Relationship Id="rId1022" Type="http://schemas.openxmlformats.org/officeDocument/2006/relationships/hyperlink" Target="http://www.morainevalley.edu/" TargetMode="External"/><Relationship Id="rId1467" Type="http://schemas.openxmlformats.org/officeDocument/2006/relationships/hyperlink" Target="http://www.fredonia.edu/" TargetMode="External"/><Relationship Id="rId1674" Type="http://schemas.openxmlformats.org/officeDocument/2006/relationships/hyperlink" Target="http://www.uofa.edu/" TargetMode="External"/><Relationship Id="rId1881" Type="http://schemas.openxmlformats.org/officeDocument/2006/relationships/hyperlink" Target="http://www.uttyl.edu/" TargetMode="External"/><Relationship Id="rId269" Type="http://schemas.openxmlformats.org/officeDocument/2006/relationships/hyperlink" Target="http://www.capitol-college.edu/" TargetMode="External"/><Relationship Id="rId476" Type="http://schemas.openxmlformats.org/officeDocument/2006/relationships/hyperlink" Target="http://www.svd.org/" TargetMode="External"/><Relationship Id="rId683" Type="http://schemas.openxmlformats.org/officeDocument/2006/relationships/hyperlink" Target="http://www.hesser.edu/" TargetMode="External"/><Relationship Id="rId890" Type="http://schemas.openxmlformats.org/officeDocument/2006/relationships/hyperlink" Target="http://www.lynchburg.edu/" TargetMode="External"/><Relationship Id="rId904" Type="http://schemas.openxmlformats.org/officeDocument/2006/relationships/hyperlink" Target="http://www.mccks.edu/" TargetMode="External"/><Relationship Id="rId1327" Type="http://schemas.openxmlformats.org/officeDocument/2006/relationships/hyperlink" Target="http://www.rowan.edu/" TargetMode="External"/><Relationship Id="rId1534" Type="http://schemas.openxmlformats.org/officeDocument/2006/relationships/hyperlink" Target="http://www.stolaf.edu/" TargetMode="External"/><Relationship Id="rId1741" Type="http://schemas.openxmlformats.org/officeDocument/2006/relationships/hyperlink" Target="http://www.uidaho.edu/" TargetMode="External"/><Relationship Id="rId1979" Type="http://schemas.openxmlformats.org/officeDocument/2006/relationships/hyperlink" Target="http://www.webb-institute.edu/" TargetMode="External"/><Relationship Id="rId33" Type="http://schemas.openxmlformats.org/officeDocument/2006/relationships/hyperlink" Target="http://www.act-sfbay.org/" TargetMode="External"/><Relationship Id="rId129" Type="http://schemas.openxmlformats.org/officeDocument/2006/relationships/hyperlink" Target="http://www.barclaycollege.edu/" TargetMode="External"/><Relationship Id="rId336" Type="http://schemas.openxmlformats.org/officeDocument/2006/relationships/hyperlink" Target="http://www.cau.edu/" TargetMode="External"/><Relationship Id="rId543" Type="http://schemas.openxmlformats.org/officeDocument/2006/relationships/hyperlink" Target="http://www.fdu.edu/visitorcenter/thwelcome.html" TargetMode="External"/><Relationship Id="rId988" Type="http://schemas.openxmlformats.org/officeDocument/2006/relationships/hyperlink" Target="http://www.milligan.edu/" TargetMode="External"/><Relationship Id="rId1173" Type="http://schemas.openxmlformats.org/officeDocument/2006/relationships/hyperlink" Target="http://www.zanesville.ohiou.edu/" TargetMode="External"/><Relationship Id="rId1380" Type="http://schemas.openxmlformats.org/officeDocument/2006/relationships/hyperlink" Target="http://www.shoreline.edu/" TargetMode="External"/><Relationship Id="rId1601" Type="http://schemas.openxmlformats.org/officeDocument/2006/relationships/hyperlink" Target="http://www.lios.org/" TargetMode="External"/><Relationship Id="rId1839" Type="http://schemas.openxmlformats.org/officeDocument/2006/relationships/hyperlink" Target="http://www.ups.edu/" TargetMode="External"/><Relationship Id="rId2017" Type="http://schemas.openxmlformats.org/officeDocument/2006/relationships/hyperlink" Target="http://www.westmont.edu/" TargetMode="External"/><Relationship Id="rId182" Type="http://schemas.openxmlformats.org/officeDocument/2006/relationships/hyperlink" Target="http://www.bluffton.edu/" TargetMode="External"/><Relationship Id="rId403" Type="http://schemas.openxmlformats.org/officeDocument/2006/relationships/hyperlink" Target="http://www.columbusu.com/" TargetMode="External"/><Relationship Id="rId750" Type="http://schemas.openxmlformats.org/officeDocument/2006/relationships/hyperlink" Target="http://www.iwc.edu/" TargetMode="External"/><Relationship Id="rId848" Type="http://schemas.openxmlformats.org/officeDocument/2006/relationships/hyperlink" Target="http://www.lc.cc.il.us/" TargetMode="External"/><Relationship Id="rId1033" Type="http://schemas.openxmlformats.org/officeDocument/2006/relationships/hyperlink" Target="http://www.mtaloy.edu/" TargetMode="External"/><Relationship Id="rId1478" Type="http://schemas.openxmlformats.org/officeDocument/2006/relationships/hyperlink" Target="http://www.farmingdale.edu/" TargetMode="External"/><Relationship Id="rId1685" Type="http://schemas.openxmlformats.org/officeDocument/2006/relationships/hyperlink" Target="http://www.uasys.edu/" TargetMode="External"/><Relationship Id="rId1892" Type="http://schemas.openxmlformats.org/officeDocument/2006/relationships/hyperlink" Target="http://www.uiw.edu/" TargetMode="External"/><Relationship Id="rId1906" Type="http://schemas.openxmlformats.org/officeDocument/2006/relationships/hyperlink" Target="http://www.uwa.edu/" TargetMode="External"/><Relationship Id="rId487" Type="http://schemas.openxmlformats.org/officeDocument/2006/relationships/hyperlink" Target="http://www.drew.edu/" TargetMode="External"/><Relationship Id="rId610" Type="http://schemas.openxmlformats.org/officeDocument/2006/relationships/hyperlink" Target="http://www.gwu.edu/" TargetMode="External"/><Relationship Id="rId694" Type="http://schemas.openxmlformats.org/officeDocument/2006/relationships/hyperlink" Target="http://www.hcc-nd.edu/" TargetMode="External"/><Relationship Id="rId708" Type="http://schemas.openxmlformats.org/officeDocument/2006/relationships/hyperlink" Target="http://www.husson.edu/" TargetMode="External"/><Relationship Id="rId915" Type="http://schemas.openxmlformats.org/officeDocument/2006/relationships/hyperlink" Target="http://www.marlboro.edu/" TargetMode="External"/><Relationship Id="rId1240" Type="http://schemas.openxmlformats.org/officeDocument/2006/relationships/hyperlink" Target="http://www.pfeiffer.edu/" TargetMode="External"/><Relationship Id="rId1338" Type="http://schemas.openxmlformats.org/officeDocument/2006/relationships/hyperlink" Target="http://www.salemiu.edu/" TargetMode="External"/><Relationship Id="rId1545" Type="http://schemas.openxmlformats.org/officeDocument/2006/relationships/hyperlink" Target="http://www.sullivan.edu/" TargetMode="External"/><Relationship Id="rId2070" Type="http://schemas.openxmlformats.org/officeDocument/2006/relationships/hyperlink" Target="http://www.nyuniversity.net/" TargetMode="External"/><Relationship Id="rId347" Type="http://schemas.openxmlformats.org/officeDocument/2006/relationships/hyperlink" Target="http://www.cia.edu/" TargetMode="External"/><Relationship Id="rId999" Type="http://schemas.openxmlformats.org/officeDocument/2006/relationships/hyperlink" Target="http://www.mc.edu/" TargetMode="External"/><Relationship Id="rId1100" Type="http://schemas.openxmlformats.org/officeDocument/2006/relationships/hyperlink" Target="http://www.nyls.edu/" TargetMode="External"/><Relationship Id="rId1184" Type="http://schemas.openxmlformats.org/officeDocument/2006/relationships/hyperlink" Target="http://www.osu-tulsa.okstate.edu/" TargetMode="External"/><Relationship Id="rId1405" Type="http://schemas.openxmlformats.org/officeDocument/2006/relationships/hyperlink" Target="http://www.sosu.edu/" TargetMode="External"/><Relationship Id="rId1752" Type="http://schemas.openxmlformats.org/officeDocument/2006/relationships/hyperlink" Target="http://www.ulm.edu/" TargetMode="External"/><Relationship Id="rId2028" Type="http://schemas.openxmlformats.org/officeDocument/2006/relationships/hyperlink" Target="http://www.wheelock.edu/" TargetMode="External"/><Relationship Id="rId44" Type="http://schemas.openxmlformats.org/officeDocument/2006/relationships/hyperlink" Target="http://www.apus.edu/" TargetMode="External"/><Relationship Id="rId554" Type="http://schemas.openxmlformats.org/officeDocument/2006/relationships/hyperlink" Target="http://www.fisher.edu/" TargetMode="External"/><Relationship Id="rId761" Type="http://schemas.openxmlformats.org/officeDocument/2006/relationships/hyperlink" Target="http://www.jc.edu/" TargetMode="External"/><Relationship Id="rId859" Type="http://schemas.openxmlformats.org/officeDocument/2006/relationships/hyperlink" Target="http://www.lindenwood.edu/" TargetMode="External"/><Relationship Id="rId1391" Type="http://schemas.openxmlformats.org/officeDocument/2006/relationships/hyperlink" Target="http://skadron.com/" TargetMode="External"/><Relationship Id="rId1489" Type="http://schemas.openxmlformats.org/officeDocument/2006/relationships/hyperlink" Target="http://www.sbi.edu/" TargetMode="External"/><Relationship Id="rId1612" Type="http://schemas.openxmlformats.org/officeDocument/2006/relationships/hyperlink" Target="http://www.tui.edu/" TargetMode="External"/><Relationship Id="rId1696" Type="http://schemas.openxmlformats.org/officeDocument/2006/relationships/hyperlink" Target="http://www.ucsd.edu/" TargetMode="External"/><Relationship Id="rId1917" Type="http://schemas.openxmlformats.org/officeDocument/2006/relationships/hyperlink" Target="http://www.uwrf.edu/" TargetMode="External"/><Relationship Id="rId193" Type="http://schemas.openxmlformats.org/officeDocument/2006/relationships/hyperlink" Target="http://www.firelands.bgsu.edu/" TargetMode="External"/><Relationship Id="rId207" Type="http://schemas.openxmlformats.org/officeDocument/2006/relationships/hyperlink" Target="http://www.byuh.edu/" TargetMode="External"/><Relationship Id="rId414" Type="http://schemas.openxmlformats.org/officeDocument/2006/relationships/hyperlink" Target="http://www.cuw.edu/" TargetMode="External"/><Relationship Id="rId498" Type="http://schemas.openxmlformats.org/officeDocument/2006/relationships/hyperlink" Target="http://www.eastern.edu/" TargetMode="External"/><Relationship Id="rId621" Type="http://schemas.openxmlformats.org/officeDocument/2006/relationships/hyperlink" Target="http://www.gettysburg.edu/" TargetMode="External"/><Relationship Id="rId1044" Type="http://schemas.openxmlformats.org/officeDocument/2006/relationships/hyperlink" Target="http://www.msmc.edu/" TargetMode="External"/><Relationship Id="rId1251" Type="http://schemas.openxmlformats.org/officeDocument/2006/relationships/hyperlink" Target="http://www.pittstate.edu/" TargetMode="External"/><Relationship Id="rId1349" Type="http://schemas.openxmlformats.org/officeDocument/2006/relationships/hyperlink" Target="http://www.sfai.edu/" TargetMode="External"/><Relationship Id="rId260" Type="http://schemas.openxmlformats.org/officeDocument/2006/relationships/hyperlink" Target="http://www.calvin.edu/" TargetMode="External"/><Relationship Id="rId719" Type="http://schemas.openxmlformats.org/officeDocument/2006/relationships/hyperlink" Target="http://www.aspp.edu/ilrm.html" TargetMode="External"/><Relationship Id="rId926" Type="http://schemas.openxmlformats.org/officeDocument/2006/relationships/hyperlink" Target="http://www.marymt.edu/" TargetMode="External"/><Relationship Id="rId1111" Type="http://schemas.openxmlformats.org/officeDocument/2006/relationships/hyperlink" Target="http://www.ncsu.edu/" TargetMode="External"/><Relationship Id="rId1556" Type="http://schemas.openxmlformats.org/officeDocument/2006/relationships/hyperlink" Target="http://www.tc.columbia.edu/" TargetMode="External"/><Relationship Id="rId1763" Type="http://schemas.openxmlformats.org/officeDocument/2006/relationships/hyperlink" Target="http://www.umhb.edu/" TargetMode="External"/><Relationship Id="rId1970" Type="http://schemas.openxmlformats.org/officeDocument/2006/relationships/hyperlink" Target="http://www.spokane.wsu.edu/" TargetMode="External"/><Relationship Id="rId55" Type="http://schemas.openxmlformats.org/officeDocument/2006/relationships/hyperlink" Target="http://www.anna-maria.edu/" TargetMode="External"/><Relationship Id="rId120" Type="http://schemas.openxmlformats.org/officeDocument/2006/relationships/hyperlink" Target="http://www.baldwinw.edu/" TargetMode="External"/><Relationship Id="rId358" Type="http://schemas.openxmlformats.org/officeDocument/2006/relationships/hyperlink" Target="http://www.collegeamerica.edu/" TargetMode="External"/><Relationship Id="rId565" Type="http://schemas.openxmlformats.org/officeDocument/2006/relationships/hyperlink" Target="http://www.fmc.edu/" TargetMode="External"/><Relationship Id="rId772" Type="http://schemas.openxmlformats.org/officeDocument/2006/relationships/hyperlink" Target="http://www.jsc.vsc.edu/" TargetMode="External"/><Relationship Id="rId1195" Type="http://schemas.openxmlformats.org/officeDocument/2006/relationships/hyperlink" Target="http://www.orst.edu/" TargetMode="External"/><Relationship Id="rId1209" Type="http://schemas.openxmlformats.org/officeDocument/2006/relationships/hyperlink" Target="http://www.pnca.edu/" TargetMode="External"/><Relationship Id="rId1416" Type="http://schemas.openxmlformats.org/officeDocument/2006/relationships/hyperlink" Target="http://www.siue.edu/" TargetMode="External"/><Relationship Id="rId1623" Type="http://schemas.openxmlformats.org/officeDocument/2006/relationships/hyperlink" Target="http://www.toccoafalls.edu/" TargetMode="External"/><Relationship Id="rId1830" Type="http://schemas.openxmlformats.org/officeDocument/2006/relationships/hyperlink" Target="http://www.uoregon.edu/" TargetMode="External"/><Relationship Id="rId2039" Type="http://schemas.openxmlformats.org/officeDocument/2006/relationships/hyperlink" Target="http://www.wmcarey.edu/" TargetMode="External"/><Relationship Id="rId218" Type="http://schemas.openxmlformats.org/officeDocument/2006/relationships/hyperlink" Target="http://www.bvu.edu/" TargetMode="External"/><Relationship Id="rId425" Type="http://schemas.openxmlformats.org/officeDocument/2006/relationships/hyperlink" Target="http://www.covenant.edu/" TargetMode="External"/><Relationship Id="rId632" Type="http://schemas.openxmlformats.org/officeDocument/2006/relationships/hyperlink" Target="http://www.goucher.edu/" TargetMode="External"/><Relationship Id="rId1055" Type="http://schemas.openxmlformats.org/officeDocument/2006/relationships/hyperlink" Target="http://www.national.edu/" TargetMode="External"/><Relationship Id="rId1262" Type="http://schemas.openxmlformats.org/officeDocument/2006/relationships/hyperlink" Target="http://www.post.edu/" TargetMode="External"/><Relationship Id="rId1928" Type="http://schemas.openxmlformats.org/officeDocument/2006/relationships/hyperlink" Target="http://www.uvsc.edu/" TargetMode="External"/><Relationship Id="rId271" Type="http://schemas.openxmlformats.org/officeDocument/2006/relationships/hyperlink" Target="http://www.carleton.edu/" TargetMode="External"/><Relationship Id="rId937" Type="http://schemas.openxmlformats.org/officeDocument/2006/relationships/hyperlink" Target="http://www.mma.mass.edu/" TargetMode="External"/><Relationship Id="rId1122" Type="http://schemas.openxmlformats.org/officeDocument/2006/relationships/hyperlink" Target="http://www.niu.edu/" TargetMode="External"/><Relationship Id="rId1567" Type="http://schemas.openxmlformats.org/officeDocument/2006/relationships/hyperlink" Target="http://www.tamug.tamu.edu/" TargetMode="External"/><Relationship Id="rId1774" Type="http://schemas.openxmlformats.org/officeDocument/2006/relationships/hyperlink" Target="http://www.uml.edu/" TargetMode="External"/><Relationship Id="rId1981" Type="http://schemas.openxmlformats.org/officeDocument/2006/relationships/hyperlink" Target="http://www.webster.edu/" TargetMode="External"/><Relationship Id="rId66" Type="http://schemas.openxmlformats.org/officeDocument/2006/relationships/hyperlink" Target="http://www.argosyu.edu/" TargetMode="External"/><Relationship Id="rId131" Type="http://schemas.openxmlformats.org/officeDocument/2006/relationships/hyperlink" Target="http://www.bard.edu/graduate/BGC/intro.html" TargetMode="External"/><Relationship Id="rId369" Type="http://schemas.openxmlformats.org/officeDocument/2006/relationships/hyperlink" Target="http://www.cmsv.edu/" TargetMode="External"/><Relationship Id="rId576" Type="http://schemas.openxmlformats.org/officeDocument/2006/relationships/hyperlink" Target="http://www.forestinstitute.org/" TargetMode="External"/><Relationship Id="rId783" Type="http://schemas.openxmlformats.org/officeDocument/2006/relationships/hyperlink" Target="http://www.kcai.edu/" TargetMode="External"/><Relationship Id="rId990" Type="http://schemas.openxmlformats.org/officeDocument/2006/relationships/hyperlink" Target="http://www.millsaps.edu/" TargetMode="External"/><Relationship Id="rId1427" Type="http://schemas.openxmlformats.org/officeDocument/2006/relationships/hyperlink" Target="http://www.swu.edu/" TargetMode="External"/><Relationship Id="rId1634" Type="http://schemas.openxmlformats.org/officeDocument/2006/relationships/hyperlink" Target="http://www.trnty.edu/" TargetMode="External"/><Relationship Id="rId1841" Type="http://schemas.openxmlformats.org/officeDocument/2006/relationships/hyperlink" Target="http://www.uri.edu/" TargetMode="External"/><Relationship Id="rId229" Type="http://schemas.openxmlformats.org/officeDocument/2006/relationships/hyperlink" Target="http://www.ciis.edu/" TargetMode="External"/><Relationship Id="rId436" Type="http://schemas.openxmlformats.org/officeDocument/2006/relationships/hyperlink" Target="http://www.dwu.edu/" TargetMode="External"/><Relationship Id="rId643" Type="http://schemas.openxmlformats.org/officeDocument/2006/relationships/hyperlink" Target="http://www.grantham.edu/" TargetMode="External"/><Relationship Id="rId1066" Type="http://schemas.openxmlformats.org/officeDocument/2006/relationships/hyperlink" Target="http://www.nl.edu/" TargetMode="External"/><Relationship Id="rId1273" Type="http://schemas.openxmlformats.org/officeDocument/2006/relationships/hyperlink" Target="http://www.calumet.purdue.edu/" TargetMode="External"/><Relationship Id="rId1480" Type="http://schemas.openxmlformats.org/officeDocument/2006/relationships/hyperlink" Target="http://www.esc.edu/" TargetMode="External"/><Relationship Id="rId1939" Type="http://schemas.openxmlformats.org/officeDocument/2006/relationships/hyperlink" Target="http://www.vermontlaw.edu/" TargetMode="External"/><Relationship Id="rId850" Type="http://schemas.openxmlformats.org/officeDocument/2006/relationships/hyperlink" Target="http://www.lewisu.edu/" TargetMode="External"/><Relationship Id="rId948" Type="http://schemas.openxmlformats.org/officeDocument/2006/relationships/hyperlink" Target="http://www.mcg.edu/" TargetMode="External"/><Relationship Id="rId1133" Type="http://schemas.openxmlformats.org/officeDocument/2006/relationships/hyperlink" Target="http://www.nca.edu/" TargetMode="External"/><Relationship Id="rId1578" Type="http://schemas.openxmlformats.org/officeDocument/2006/relationships/hyperlink" Target="http://www.txwesleyan.edu/" TargetMode="External"/><Relationship Id="rId1701" Type="http://schemas.openxmlformats.org/officeDocument/2006/relationships/hyperlink" Target="http://www.uca.edu/" TargetMode="External"/><Relationship Id="rId1785" Type="http://schemas.openxmlformats.org/officeDocument/2006/relationships/hyperlink" Target="http://www.mrs.umn.edu/" TargetMode="External"/><Relationship Id="rId1992" Type="http://schemas.openxmlformats.org/officeDocument/2006/relationships/hyperlink" Target="http://www.wcupa.edu/" TargetMode="External"/><Relationship Id="rId77" Type="http://schemas.openxmlformats.org/officeDocument/2006/relationships/hyperlink" Target="http://www.atu.edu/" TargetMode="External"/><Relationship Id="rId282" Type="http://schemas.openxmlformats.org/officeDocument/2006/relationships/hyperlink" Target="http://www.ctu.edu/" TargetMode="External"/><Relationship Id="rId503" Type="http://schemas.openxmlformats.org/officeDocument/2006/relationships/hyperlink" Target="http://www.emu.edu/" TargetMode="External"/><Relationship Id="rId587" Type="http://schemas.openxmlformats.org/officeDocument/2006/relationships/hyperlink" Target="http://www.fplc.edu/" TargetMode="External"/><Relationship Id="rId710" Type="http://schemas.openxmlformats.org/officeDocument/2006/relationships/hyperlink" Target="http://www.ici.edu/" TargetMode="External"/><Relationship Id="rId808" Type="http://schemas.openxmlformats.org/officeDocument/2006/relationships/hyperlink" Target="http://www.king.edu/" TargetMode="External"/><Relationship Id="rId1340" Type="http://schemas.openxmlformats.org/officeDocument/2006/relationships/hyperlink" Target="http://www.salem-teikyo.wvnet.edu/" TargetMode="External"/><Relationship Id="rId1438" Type="http://schemas.openxmlformats.org/officeDocument/2006/relationships/hyperlink" Target="http://www.swosu.edu/" TargetMode="External"/><Relationship Id="rId1645" Type="http://schemas.openxmlformats.org/officeDocument/2006/relationships/hyperlink" Target="http://dothan.troy.edu/" TargetMode="External"/><Relationship Id="rId8" Type="http://schemas.openxmlformats.org/officeDocument/2006/relationships/hyperlink" Target="http://www.alasu.edu/" TargetMode="External"/><Relationship Id="rId142" Type="http://schemas.openxmlformats.org/officeDocument/2006/relationships/hyperlink" Target="http://www.belhaven.edu/" TargetMode="External"/><Relationship Id="rId447" Type="http://schemas.openxmlformats.org/officeDocument/2006/relationships/hyperlink" Target="http://www.davidson.edu/" TargetMode="External"/><Relationship Id="rId794" Type="http://schemas.openxmlformats.org/officeDocument/2006/relationships/hyperlink" Target="http://www.kennesaw.edu/" TargetMode="External"/><Relationship Id="rId1077" Type="http://schemas.openxmlformats.org/officeDocument/2006/relationships/hyperlink" Target="http://www.newberry.edu/" TargetMode="External"/><Relationship Id="rId1200" Type="http://schemas.openxmlformats.org/officeDocument/2006/relationships/hyperlink" Target="http://www.olhcc.edu/" TargetMode="External"/><Relationship Id="rId1852" Type="http://schemas.openxmlformats.org/officeDocument/2006/relationships/hyperlink" Target="http://www.usca.sc.edu/" TargetMode="External"/><Relationship Id="rId2030" Type="http://schemas.openxmlformats.org/officeDocument/2006/relationships/hyperlink" Target="http://www.whittier.edu/" TargetMode="External"/><Relationship Id="rId654" Type="http://schemas.openxmlformats.org/officeDocument/2006/relationships/hyperlink" Target="http://www.hcc.cc.md.us/" TargetMode="External"/><Relationship Id="rId861" Type="http://schemas.openxmlformats.org/officeDocument/2006/relationships/hyperlink" Target="http://www.linfield.edu/" TargetMode="External"/><Relationship Id="rId959" Type="http://schemas.openxmlformats.org/officeDocument/2006/relationships/hyperlink" Target="http://www.mercynet.edu/" TargetMode="External"/><Relationship Id="rId1284" Type="http://schemas.openxmlformats.org/officeDocument/2006/relationships/hyperlink" Target="http://www.rasmussen.edu/" TargetMode="External"/><Relationship Id="rId1491" Type="http://schemas.openxmlformats.org/officeDocument/2006/relationships/hyperlink" Target="http://www.stcloudstate.edu/" TargetMode="External"/><Relationship Id="rId1505" Type="http://schemas.openxmlformats.org/officeDocument/2006/relationships/hyperlink" Target="http://www.sjfc.edu/" TargetMode="External"/><Relationship Id="rId1589" Type="http://schemas.openxmlformats.org/officeDocument/2006/relationships/hyperlink" Target="http://www.csf.edu/" TargetMode="External"/><Relationship Id="rId1712" Type="http://schemas.openxmlformats.org/officeDocument/2006/relationships/hyperlink" Target="http://www.cudenver.edu/" TargetMode="External"/><Relationship Id="rId293" Type="http://schemas.openxmlformats.org/officeDocument/2006/relationships/hyperlink" Target="http://www.cmc.edu/" TargetMode="External"/><Relationship Id="rId307" Type="http://schemas.openxmlformats.org/officeDocument/2006/relationships/hyperlink" Target="http://www.cheyney.edu/" TargetMode="External"/><Relationship Id="rId514" Type="http://schemas.openxmlformats.org/officeDocument/2006/relationships/hyperlink" Target="http://www.eckerd.edu/" TargetMode="External"/><Relationship Id="rId721" Type="http://schemas.openxmlformats.org/officeDocument/2006/relationships/hyperlink" Target="http://www.ivcc.edu/" TargetMode="External"/><Relationship Id="rId1144" Type="http://schemas.openxmlformats.org/officeDocument/2006/relationships/hyperlink" Target="http://www.northwood.edu/campuses/florida/" TargetMode="External"/><Relationship Id="rId1351" Type="http://schemas.openxmlformats.org/officeDocument/2006/relationships/hyperlink" Target="http://www.sfsu.edu/" TargetMode="External"/><Relationship Id="rId1449" Type="http://schemas.openxmlformats.org/officeDocument/2006/relationships/hyperlink" Target="http://www.arbor.edu/" TargetMode="External"/><Relationship Id="rId1796" Type="http://schemas.openxmlformats.org/officeDocument/2006/relationships/hyperlink" Target="http://www.unk.edu/" TargetMode="External"/><Relationship Id="rId88" Type="http://schemas.openxmlformats.org/officeDocument/2006/relationships/hyperlink" Target="http://www.assumption.edu/" TargetMode="External"/><Relationship Id="rId153" Type="http://schemas.openxmlformats.org/officeDocument/2006/relationships/hyperlink" Target="http://www.sci.edu/" TargetMode="External"/><Relationship Id="rId360" Type="http://schemas.openxmlformats.org/officeDocument/2006/relationships/hyperlink" Target="http://www.ccscad.edu/" TargetMode="External"/><Relationship Id="rId598" Type="http://schemas.openxmlformats.org/officeDocument/2006/relationships/hyperlink" Target="http://www.fsu.umd.edu/" TargetMode="External"/><Relationship Id="rId819" Type="http://schemas.openxmlformats.org/officeDocument/2006/relationships/hyperlink" Target="http://www.lfc.edu/" TargetMode="External"/><Relationship Id="rId1004" Type="http://schemas.openxmlformats.org/officeDocument/2006/relationships/hyperlink" Target="http://www.mssc.edu/" TargetMode="External"/><Relationship Id="rId1211" Type="http://schemas.openxmlformats.org/officeDocument/2006/relationships/hyperlink" Target="http://www.puc.edu/" TargetMode="External"/><Relationship Id="rId1656" Type="http://schemas.openxmlformats.org/officeDocument/2006/relationships/hyperlink" Target="http://www.union.edu/" TargetMode="External"/><Relationship Id="rId1863" Type="http://schemas.openxmlformats.org/officeDocument/2006/relationships/hyperlink" Target="http://www.usm.edu/" TargetMode="External"/><Relationship Id="rId2041" Type="http://schemas.openxmlformats.org/officeDocument/2006/relationships/hyperlink" Target="http://www.wmitchell.edu/" TargetMode="External"/><Relationship Id="rId220" Type="http://schemas.openxmlformats.org/officeDocument/2006/relationships/hyperlink" Target="http://www.butler.edu/" TargetMode="External"/><Relationship Id="rId458" Type="http://schemas.openxmlformats.org/officeDocument/2006/relationships/hyperlink" Target="http://www.depauw.edu/" TargetMode="External"/><Relationship Id="rId665" Type="http://schemas.openxmlformats.org/officeDocument/2006/relationships/hyperlink" Target="http://www.hugsr.edu/" TargetMode="External"/><Relationship Id="rId872" Type="http://schemas.openxmlformats.org/officeDocument/2006/relationships/hyperlink" Target="http://www.lacc.edu/" TargetMode="External"/><Relationship Id="rId1088" Type="http://schemas.openxmlformats.org/officeDocument/2006/relationships/hyperlink" Target="http://www.njcu.edu/" TargetMode="External"/><Relationship Id="rId1295" Type="http://schemas.openxmlformats.org/officeDocument/2006/relationships/hyperlink" Target="http://www.regis.edu/" TargetMode="External"/><Relationship Id="rId1309" Type="http://schemas.openxmlformats.org/officeDocument/2006/relationships/hyperlink" Target="http://www.roanoke.edu/" TargetMode="External"/><Relationship Id="rId1516" Type="http://schemas.openxmlformats.org/officeDocument/2006/relationships/hyperlink" Target="http://www.sju.edu/" TargetMode="External"/><Relationship Id="rId1723" Type="http://schemas.openxmlformats.org/officeDocument/2006/relationships/hyperlink" Target="http://www.du.edu/" TargetMode="External"/><Relationship Id="rId1930" Type="http://schemas.openxmlformats.org/officeDocument/2006/relationships/hyperlink" Target="http://www.valdosta.edu/" TargetMode="External"/><Relationship Id="rId15" Type="http://schemas.openxmlformats.org/officeDocument/2006/relationships/hyperlink" Target="http://www.albertus.edu/" TargetMode="External"/><Relationship Id="rId318" Type="http://schemas.openxmlformats.org/officeDocument/2006/relationships/hyperlink" Target="http://www.ccny.cuny.edu/" TargetMode="External"/><Relationship Id="rId525" Type="http://schemas.openxmlformats.org/officeDocument/2006/relationships/hyperlink" Target="http://www.embryriddle.edu/" TargetMode="External"/><Relationship Id="rId732" Type="http://schemas.openxmlformats.org/officeDocument/2006/relationships/hyperlink" Target="http://www.iup.edu/" TargetMode="External"/><Relationship Id="rId1155" Type="http://schemas.openxmlformats.org/officeDocument/2006/relationships/hyperlink" Target="http://www.oakwood.edu/" TargetMode="External"/><Relationship Id="rId1362" Type="http://schemas.openxmlformats.org/officeDocument/2006/relationships/hyperlink" Target="http://www.sit.edu/" TargetMode="External"/><Relationship Id="rId99" Type="http://schemas.openxmlformats.org/officeDocument/2006/relationships/hyperlink" Target="http://www.augsburg.edu/" TargetMode="External"/><Relationship Id="rId164" Type="http://schemas.openxmlformats.org/officeDocument/2006/relationships/hyperlink" Target="http://www.bethany.wvnet.edu/" TargetMode="External"/><Relationship Id="rId371" Type="http://schemas.openxmlformats.org/officeDocument/2006/relationships/hyperlink" Target="http://www.cnd.edu/" TargetMode="External"/><Relationship Id="rId1015" Type="http://schemas.openxmlformats.org/officeDocument/2006/relationships/hyperlink" Target="http://www.montclair.edu/" TargetMode="External"/><Relationship Id="rId1222" Type="http://schemas.openxmlformats.org/officeDocument/2006/relationships/hyperlink" Target="http://www.peace.edu/" TargetMode="External"/><Relationship Id="rId1667" Type="http://schemas.openxmlformats.org/officeDocument/2006/relationships/hyperlink" Target="http://www.sport.ussa.edu/" TargetMode="External"/><Relationship Id="rId1874" Type="http://schemas.openxmlformats.org/officeDocument/2006/relationships/hyperlink" Target="http://www.utsystem.edu/" TargetMode="External"/><Relationship Id="rId2052" Type="http://schemas.openxmlformats.org/officeDocument/2006/relationships/hyperlink" Target="http://www.winona.msus.edu/" TargetMode="External"/><Relationship Id="rId469" Type="http://schemas.openxmlformats.org/officeDocument/2006/relationships/hyperlink" Target="http://www.dal.devry.edu/" TargetMode="External"/><Relationship Id="rId676" Type="http://schemas.openxmlformats.org/officeDocument/2006/relationships/hyperlink" Target="http://www.hpu.edu/" TargetMode="External"/><Relationship Id="rId883" Type="http://schemas.openxmlformats.org/officeDocument/2006/relationships/hyperlink" Target="http://www.lmu.edu/" TargetMode="External"/><Relationship Id="rId1099" Type="http://schemas.openxmlformats.org/officeDocument/2006/relationships/hyperlink" Target="http://www.nyit.edu/" TargetMode="External"/><Relationship Id="rId1527" Type="http://schemas.openxmlformats.org/officeDocument/2006/relationships/hyperlink" Target="http://www.stmarys-ca.edu/" TargetMode="External"/><Relationship Id="rId1734" Type="http://schemas.openxmlformats.org/officeDocument/2006/relationships/hyperlink" Target="http://www.hawaii.edu/" TargetMode="External"/><Relationship Id="rId1941" Type="http://schemas.openxmlformats.org/officeDocument/2006/relationships/hyperlink" Target="http://www.vjc.edu/" TargetMode="External"/><Relationship Id="rId26" Type="http://schemas.openxmlformats.org/officeDocument/2006/relationships/hyperlink" Target="http://www.alvernia.edu/" TargetMode="External"/><Relationship Id="rId231" Type="http://schemas.openxmlformats.org/officeDocument/2006/relationships/hyperlink" Target="http://www.calarts.edu/" TargetMode="External"/><Relationship Id="rId329" Type="http://schemas.openxmlformats.org/officeDocument/2006/relationships/hyperlink" Target="http://www.law.cuny.edu/" TargetMode="External"/><Relationship Id="rId536" Type="http://schemas.openxmlformats.org/officeDocument/2006/relationships/hyperlink" Target="http://www.eureka.edu/" TargetMode="External"/><Relationship Id="rId1166" Type="http://schemas.openxmlformats.org/officeDocument/2006/relationships/hyperlink" Target="http://www.marion.ohio-state.edu/" TargetMode="External"/><Relationship Id="rId1373" Type="http://schemas.openxmlformats.org/officeDocument/2006/relationships/hyperlink" Target="http://www.shawuniversity.edu/" TargetMode="External"/><Relationship Id="rId175" Type="http://schemas.openxmlformats.org/officeDocument/2006/relationships/hyperlink" Target="http://www.bhsu.edu/" TargetMode="External"/><Relationship Id="rId743" Type="http://schemas.openxmlformats.org/officeDocument/2006/relationships/hyperlink" Target="http://www.intelliteccollege.edu/" TargetMode="External"/><Relationship Id="rId950" Type="http://schemas.openxmlformats.org/officeDocument/2006/relationships/hyperlink" Target="http://www.mcphu.edu/" TargetMode="External"/><Relationship Id="rId1026" Type="http://schemas.openxmlformats.org/officeDocument/2006/relationships/hyperlink" Target="http://www.msm.edu/" TargetMode="External"/><Relationship Id="rId1580" Type="http://schemas.openxmlformats.org/officeDocument/2006/relationships/hyperlink" Target="http://www.amercoll.edu/" TargetMode="External"/><Relationship Id="rId1678" Type="http://schemas.openxmlformats.org/officeDocument/2006/relationships/hyperlink" Target="http://www.alaska.edu/" TargetMode="External"/><Relationship Id="rId1801" Type="http://schemas.openxmlformats.org/officeDocument/2006/relationships/hyperlink" Target="http://www.unlv.edu/" TargetMode="External"/><Relationship Id="rId1885" Type="http://schemas.openxmlformats.org/officeDocument/2006/relationships/hyperlink" Target="http://www.mdanderson.org/" TargetMode="External"/><Relationship Id="rId382" Type="http://schemas.openxmlformats.org/officeDocument/2006/relationships/hyperlink" Target="http://www.holycross.edu/" TargetMode="External"/><Relationship Id="rId603" Type="http://schemas.openxmlformats.org/officeDocument/2006/relationships/hyperlink" Target="http://www.gardner-webb.edu/" TargetMode="External"/><Relationship Id="rId687" Type="http://schemas.openxmlformats.org/officeDocument/2006/relationships/hyperlink" Target="http://www.hiram.edu/" TargetMode="External"/><Relationship Id="rId810" Type="http://schemas.openxmlformats.org/officeDocument/2006/relationships/hyperlink" Target="http://www.kcom.edu/" TargetMode="External"/><Relationship Id="rId908" Type="http://schemas.openxmlformats.org/officeDocument/2006/relationships/hyperlink" Target="http://www.mankato.msus.edu/" TargetMode="External"/><Relationship Id="rId1233" Type="http://schemas.openxmlformats.org/officeDocument/2006/relationships/hyperlink" Target="http://www.de.psu.edu/" TargetMode="External"/><Relationship Id="rId1440" Type="http://schemas.openxmlformats.org/officeDocument/2006/relationships/hyperlink" Target="http://www.swlaw.edu/" TargetMode="External"/><Relationship Id="rId1538" Type="http://schemas.openxmlformats.org/officeDocument/2006/relationships/hyperlink" Target="http://www.spc.edu/" TargetMode="External"/><Relationship Id="rId2063" Type="http://schemas.openxmlformats.org/officeDocument/2006/relationships/hyperlink" Target="http://www.wright.edu/" TargetMode="External"/><Relationship Id="rId242" Type="http://schemas.openxmlformats.org/officeDocument/2006/relationships/hyperlink" Target="http://www.csuchico.edu/" TargetMode="External"/><Relationship Id="rId894" Type="http://schemas.openxmlformats.org/officeDocument/2006/relationships/hyperlink" Target="http://www.macalstr.edu/" TargetMode="External"/><Relationship Id="rId1177" Type="http://schemas.openxmlformats.org/officeDocument/2006/relationships/hyperlink" Target="http://www.oc.edu/" TargetMode="External"/><Relationship Id="rId1300" Type="http://schemas.openxmlformats.org/officeDocument/2006/relationships/hyperlink" Target="http://www.risd.edu/" TargetMode="External"/><Relationship Id="rId1745" Type="http://schemas.openxmlformats.org/officeDocument/2006/relationships/hyperlink" Target="http://www.uiuc.edu/" TargetMode="External"/><Relationship Id="rId1952" Type="http://schemas.openxmlformats.org/officeDocument/2006/relationships/hyperlink" Target="http://www.viterbo.edu/" TargetMode="External"/><Relationship Id="rId37" Type="http://schemas.openxmlformats.org/officeDocument/2006/relationships/hyperlink" Target="http://www.aiuniv.edu/" TargetMode="External"/><Relationship Id="rId102" Type="http://schemas.openxmlformats.org/officeDocument/2006/relationships/hyperlink" Target="http://www.aug.edu/" TargetMode="External"/><Relationship Id="rId547" Type="http://schemas.openxmlformats.org/officeDocument/2006/relationships/hyperlink" Target="http://www.uncfsu.edu/" TargetMode="External"/><Relationship Id="rId754" Type="http://schemas.openxmlformats.org/officeDocument/2006/relationships/hyperlink" Target="http://www.itttech.edu/campus/" TargetMode="External"/><Relationship Id="rId961" Type="http://schemas.openxmlformats.org/officeDocument/2006/relationships/hyperlink" Target="http://www.meredith.edu/" TargetMode="External"/><Relationship Id="rId1384" Type="http://schemas.openxmlformats.org/officeDocument/2006/relationships/hyperlink" Target="http://www.sierranevada.edu/" TargetMode="External"/><Relationship Id="rId1591" Type="http://schemas.openxmlformats.org/officeDocument/2006/relationships/hyperlink" Target="http://www.cw.edu/" TargetMode="External"/><Relationship Id="rId1605" Type="http://schemas.openxmlformats.org/officeDocument/2006/relationships/hyperlink" Target="http://www.naropa.edu/" TargetMode="External"/><Relationship Id="rId1689" Type="http://schemas.openxmlformats.org/officeDocument/2006/relationships/hyperlink" Target="http://www.ucdavis.edu/" TargetMode="External"/><Relationship Id="rId1812" Type="http://schemas.openxmlformats.org/officeDocument/2006/relationships/hyperlink" Target="http://www.unca.edu/" TargetMode="External"/><Relationship Id="rId90" Type="http://schemas.openxmlformats.org/officeDocument/2006/relationships/hyperlink" Target="http://www.athens.edu/" TargetMode="External"/><Relationship Id="rId186" Type="http://schemas.openxmlformats.org/officeDocument/2006/relationships/hyperlink" Target="http://www.boricuacollege.edu/" TargetMode="External"/><Relationship Id="rId393" Type="http://schemas.openxmlformats.org/officeDocument/2006/relationships/hyperlink" Target="http://www.columbiacollege.edu/" TargetMode="External"/><Relationship Id="rId407" Type="http://schemas.openxmlformats.org/officeDocument/2006/relationships/hyperlink" Target="http://www.concordia-ny.edu/" TargetMode="External"/><Relationship Id="rId614" Type="http://schemas.openxmlformats.org/officeDocument/2006/relationships/hyperlink" Target="http://www.georgiahealth.edu/" TargetMode="External"/><Relationship Id="rId821" Type="http://schemas.openxmlformats.org/officeDocument/2006/relationships/hyperlink" Target="http://www.lakeland.edu/" TargetMode="External"/><Relationship Id="rId1037" Type="http://schemas.openxmlformats.org/officeDocument/2006/relationships/hyperlink" Target="http://www.mtmc.edu/" TargetMode="External"/><Relationship Id="rId1244" Type="http://schemas.openxmlformats.org/officeDocument/2006/relationships/hyperlink" Target="http://www.philander.edu/" TargetMode="External"/><Relationship Id="rId1451" Type="http://schemas.openxmlformats.org/officeDocument/2006/relationships/hyperlink" Target="http://www.shc.edu/" TargetMode="External"/><Relationship Id="rId1896" Type="http://schemas.openxmlformats.org/officeDocument/2006/relationships/hyperlink" Target="http://www.sewanee.edu/" TargetMode="External"/><Relationship Id="rId253" Type="http://schemas.openxmlformats.org/officeDocument/2006/relationships/hyperlink" Target="http://www.csusm.edu/" TargetMode="External"/><Relationship Id="rId460" Type="http://schemas.openxmlformats.org/officeDocument/2006/relationships/hyperlink" Target="http://www.disd.edu/" TargetMode="External"/><Relationship Id="rId698" Type="http://schemas.openxmlformats.org/officeDocument/2006/relationships/hyperlink" Target="http://www.hope.edu/" TargetMode="External"/><Relationship Id="rId919" Type="http://schemas.openxmlformats.org/officeDocument/2006/relationships/hyperlink" Target="http://www.mlc-wels.edu/" TargetMode="External"/><Relationship Id="rId1090" Type="http://schemas.openxmlformats.org/officeDocument/2006/relationships/hyperlink" Target="http://www.ksnewman.edu/" TargetMode="External"/><Relationship Id="rId1104" Type="http://schemas.openxmlformats.org/officeDocument/2006/relationships/hyperlink" Target="http://www.niagara.edu/" TargetMode="External"/><Relationship Id="rId1311" Type="http://schemas.openxmlformats.org/officeDocument/2006/relationships/hyperlink" Target="http://www.rmcil.edu/" TargetMode="External"/><Relationship Id="rId1549" Type="http://schemas.openxmlformats.org/officeDocument/2006/relationships/hyperlink" Target="http://www.sbc.edu/" TargetMode="External"/><Relationship Id="rId1756" Type="http://schemas.openxmlformats.org/officeDocument/2006/relationships/hyperlink" Target="http://www.umfk.maine.edu/" TargetMode="External"/><Relationship Id="rId1963" Type="http://schemas.openxmlformats.org/officeDocument/2006/relationships/hyperlink" Target="http://www.warren-wilson.edu/" TargetMode="External"/><Relationship Id="rId48" Type="http://schemas.openxmlformats.org/officeDocument/2006/relationships/hyperlink" Target="http://www.anderson-college.edu/" TargetMode="External"/><Relationship Id="rId113" Type="http://schemas.openxmlformats.org/officeDocument/2006/relationships/hyperlink" Target="http://www.baker.edu/visit/cadillac.html" TargetMode="External"/><Relationship Id="rId320" Type="http://schemas.openxmlformats.org/officeDocument/2006/relationships/hyperlink" Target="http://www.cuny.edu/" TargetMode="External"/><Relationship Id="rId558" Type="http://schemas.openxmlformats.org/officeDocument/2006/relationships/hyperlink" Target="http://www.famu.edu/" TargetMode="External"/><Relationship Id="rId765" Type="http://schemas.openxmlformats.org/officeDocument/2006/relationships/hyperlink" Target="http://www.jfku.edu/" TargetMode="External"/><Relationship Id="rId972" Type="http://schemas.openxmlformats.org/officeDocument/2006/relationships/hyperlink" Target="http://www.mid.muohio.edu/" TargetMode="External"/><Relationship Id="rId1188" Type="http://schemas.openxmlformats.org/officeDocument/2006/relationships/hyperlink" Target="http://www.olivet.edu/" TargetMode="External"/><Relationship Id="rId1395" Type="http://schemas.openxmlformats.org/officeDocument/2006/relationships/hyperlink" Target="http://www.sdc.edu/" TargetMode="External"/><Relationship Id="rId1409" Type="http://schemas.openxmlformats.org/officeDocument/2006/relationships/hyperlink" Target="http://www.saumag.edu/" TargetMode="External"/><Relationship Id="rId1616" Type="http://schemas.openxmlformats.org/officeDocument/2006/relationships/hyperlink" Target="http://www.thomas.edu/" TargetMode="External"/><Relationship Id="rId1823" Type="http://schemas.openxmlformats.org/officeDocument/2006/relationships/hyperlink" Target="http://www.unf.edu/" TargetMode="External"/><Relationship Id="rId2001" Type="http://schemas.openxmlformats.org/officeDocument/2006/relationships/hyperlink" Target="http://www.wku.edu/" TargetMode="External"/><Relationship Id="rId197" Type="http://schemas.openxmlformats.org/officeDocument/2006/relationships/hyperlink" Target="http://www.brenau.edu/" TargetMode="External"/><Relationship Id="rId418" Type="http://schemas.openxmlformats.org/officeDocument/2006/relationships/hyperlink" Target="http://www.converse.edu/" TargetMode="External"/><Relationship Id="rId625" Type="http://schemas.openxmlformats.org/officeDocument/2006/relationships/hyperlink" Target="http://www.gbs.edu/" TargetMode="External"/><Relationship Id="rId832" Type="http://schemas.openxmlformats.org/officeDocument/2006/relationships/hyperlink" Target="http://www.lasalle.edu/" TargetMode="External"/><Relationship Id="rId1048" Type="http://schemas.openxmlformats.org/officeDocument/2006/relationships/hyperlink" Target="http://www.gwu.edu/~mvcgw/" TargetMode="External"/><Relationship Id="rId1255" Type="http://schemas.openxmlformats.org/officeDocument/2006/relationships/hyperlink" Target="http://www.ppc.edu/" TargetMode="External"/><Relationship Id="rId1462" Type="http://schemas.openxmlformats.org/officeDocument/2006/relationships/hyperlink" Target="http://www.newpaltz.edu/" TargetMode="External"/><Relationship Id="rId264" Type="http://schemas.openxmlformats.org/officeDocument/2006/relationships/hyperlink" Target="http://www.campbell.edu/" TargetMode="External"/><Relationship Id="rId471" Type="http://schemas.openxmlformats.org/officeDocument/2006/relationships/hyperlink" Target="http://www.phx.devry.edu/" TargetMode="External"/><Relationship Id="rId1115" Type="http://schemas.openxmlformats.org/officeDocument/2006/relationships/hyperlink" Target="http://www.ncu.edu/" TargetMode="External"/><Relationship Id="rId1322" Type="http://schemas.openxmlformats.org/officeDocument/2006/relationships/hyperlink" Target="http://www.rollins.edu/" TargetMode="External"/><Relationship Id="rId1767" Type="http://schemas.openxmlformats.org/officeDocument/2006/relationships/hyperlink" Target="http://www.umes.edu/" TargetMode="External"/><Relationship Id="rId1974" Type="http://schemas.openxmlformats.org/officeDocument/2006/relationships/hyperlink" Target="http://www.wbu.edu/" TargetMode="External"/><Relationship Id="rId59" Type="http://schemas.openxmlformats.org/officeDocument/2006/relationships/hyperlink" Target="http://www.antiochsb.edu/" TargetMode="External"/><Relationship Id="rId124" Type="http://schemas.openxmlformats.org/officeDocument/2006/relationships/hyperlink" Target="http://www.bnkst.edu/" TargetMode="External"/><Relationship Id="rId569" Type="http://schemas.openxmlformats.org/officeDocument/2006/relationships/hyperlink" Target="http://www.fmu.edu/765/f-765.htm" TargetMode="External"/><Relationship Id="rId776" Type="http://schemas.openxmlformats.org/officeDocument/2006/relationships/hyperlink" Target="http://www.jones.edu/" TargetMode="External"/><Relationship Id="rId983" Type="http://schemas.openxmlformats.org/officeDocument/2006/relationships/hyperlink" Target="http://www.mwsu.edu/" TargetMode="External"/><Relationship Id="rId1199" Type="http://schemas.openxmlformats.org/officeDocument/2006/relationships/hyperlink" Target="http://www.obu.edu/" TargetMode="External"/><Relationship Id="rId1627" Type="http://schemas.openxmlformats.org/officeDocument/2006/relationships/hyperlink" Target="http://www.tu.edu/" TargetMode="External"/><Relationship Id="rId1834" Type="http://schemas.openxmlformats.org/officeDocument/2006/relationships/hyperlink" Target="http://www.pitt.edu/" TargetMode="External"/><Relationship Id="rId331" Type="http://schemas.openxmlformats.org/officeDocument/2006/relationships/hyperlink" Target="http://www.scicu.org/claflin/" TargetMode="External"/><Relationship Id="rId429" Type="http://schemas.openxmlformats.org/officeDocument/2006/relationships/hyperlink" Target="http://www.crown.edu/" TargetMode="External"/><Relationship Id="rId636" Type="http://schemas.openxmlformats.org/officeDocument/2006/relationships/hyperlink" Target="http://www.graceland.edu/" TargetMode="External"/><Relationship Id="rId1059" Type="http://schemas.openxmlformats.org/officeDocument/2006/relationships/hyperlink" Target="http://www.national.edu/kansas_city.html" TargetMode="External"/><Relationship Id="rId1266" Type="http://schemas.openxmlformats.org/officeDocument/2006/relationships/hyperlink" Target="http://www.prescott.edu/" TargetMode="External"/><Relationship Id="rId1473" Type="http://schemas.openxmlformats.org/officeDocument/2006/relationships/hyperlink" Target="http://www.purchase.edu/" TargetMode="External"/><Relationship Id="rId2012" Type="http://schemas.openxmlformats.org/officeDocument/2006/relationships/hyperlink" Target="http://www.wsc.mass.edu/" TargetMode="External"/><Relationship Id="rId843" Type="http://schemas.openxmlformats.org/officeDocument/2006/relationships/hyperlink" Target="http://www.lemoyne-owen.edu/" TargetMode="External"/><Relationship Id="rId1126" Type="http://schemas.openxmlformats.org/officeDocument/2006/relationships/hyperlink" Target="http://www.nv.cc.va.us/" TargetMode="External"/><Relationship Id="rId1680" Type="http://schemas.openxmlformats.org/officeDocument/2006/relationships/hyperlink" Target="http://www.uark.edu/" TargetMode="External"/><Relationship Id="rId1778" Type="http://schemas.openxmlformats.org/officeDocument/2006/relationships/hyperlink" Target="http://www.memphis.edu/" TargetMode="External"/><Relationship Id="rId1901" Type="http://schemas.openxmlformats.org/officeDocument/2006/relationships/hyperlink" Target="http://www.uvm.edu/" TargetMode="External"/><Relationship Id="rId1985" Type="http://schemas.openxmlformats.org/officeDocument/2006/relationships/hyperlink" Target="http://www.wells.edu/" TargetMode="External"/><Relationship Id="rId275" Type="http://schemas.openxmlformats.org/officeDocument/2006/relationships/hyperlink" Target="http://www.carroll.edu/" TargetMode="External"/><Relationship Id="rId482" Type="http://schemas.openxmlformats.org/officeDocument/2006/relationships/hyperlink" Target="http://www.dom.edu/" TargetMode="External"/><Relationship Id="rId703" Type="http://schemas.openxmlformats.org/officeDocument/2006/relationships/hyperlink" Target="http://www.howard.edu/" TargetMode="External"/><Relationship Id="rId910" Type="http://schemas.openxmlformats.org/officeDocument/2006/relationships/hyperlink" Target="http://www.mbbc.edu/" TargetMode="External"/><Relationship Id="rId1333" Type="http://schemas.openxmlformats.org/officeDocument/2006/relationships/hyperlink" Target="http://rutgers-newark.rutgers.edu/" TargetMode="External"/><Relationship Id="rId1540" Type="http://schemas.openxmlformats.org/officeDocument/2006/relationships/hyperlink" Target="http://www.stac.edu/" TargetMode="External"/><Relationship Id="rId1638" Type="http://schemas.openxmlformats.org/officeDocument/2006/relationships/hyperlink" Target="http://www.trin.edu/" TargetMode="External"/><Relationship Id="rId135" Type="http://schemas.openxmlformats.org/officeDocument/2006/relationships/hyperlink" Target="http://www.barton.edu/" TargetMode="External"/><Relationship Id="rId342" Type="http://schemas.openxmlformats.org/officeDocument/2006/relationships/hyperlink" Target="http://www.clearwater.edu/" TargetMode="External"/><Relationship Id="rId787" Type="http://schemas.openxmlformats.org/officeDocument/2006/relationships/hyperlink" Target="http://www.kgibbs.com/" TargetMode="External"/><Relationship Id="rId994" Type="http://schemas.openxmlformats.org/officeDocument/2006/relationships/hyperlink" Target="http://www.msoe.edu/" TargetMode="External"/><Relationship Id="rId1400" Type="http://schemas.openxmlformats.org/officeDocument/2006/relationships/hyperlink" Target="http://www.sdstate.edu/" TargetMode="External"/><Relationship Id="rId1845" Type="http://schemas.openxmlformats.org/officeDocument/2006/relationships/hyperlink" Target="http://www.sandiego.edu/" TargetMode="External"/><Relationship Id="rId2023" Type="http://schemas.openxmlformats.org/officeDocument/2006/relationships/hyperlink" Target="http://wvit.wvnet.edu/" TargetMode="External"/><Relationship Id="rId202" Type="http://schemas.openxmlformats.org/officeDocument/2006/relationships/hyperlink" Target="http://www.briar-cliff.edu/" TargetMode="External"/><Relationship Id="rId647" Type="http://schemas.openxmlformats.org/officeDocument/2006/relationships/hyperlink" Target="http://www.gborocollege.edu/" TargetMode="External"/><Relationship Id="rId854" Type="http://schemas.openxmlformats.org/officeDocument/2006/relationships/hyperlink" Target="http://www.limestone.edu/" TargetMode="External"/><Relationship Id="rId1277" Type="http://schemas.openxmlformats.org/officeDocument/2006/relationships/hyperlink" Target="http://www.quincy.edu/" TargetMode="External"/><Relationship Id="rId1484" Type="http://schemas.openxmlformats.org/officeDocument/2006/relationships/hyperlink" Target="http://www.eng.buffalo.edu/" TargetMode="External"/><Relationship Id="rId1691" Type="http://schemas.openxmlformats.org/officeDocument/2006/relationships/hyperlink" Target="http://www.uci.edu/" TargetMode="External"/><Relationship Id="rId1705" Type="http://schemas.openxmlformats.org/officeDocument/2006/relationships/hyperlink" Target="http://www.vvm.com/uct/" TargetMode="External"/><Relationship Id="rId1912" Type="http://schemas.openxmlformats.org/officeDocument/2006/relationships/hyperlink" Target="http://www.wisc.edu/" TargetMode="External"/><Relationship Id="rId286" Type="http://schemas.openxmlformats.org/officeDocument/2006/relationships/hyperlink" Target="http://www.centenary.edu/" TargetMode="External"/><Relationship Id="rId493" Type="http://schemas.openxmlformats.org/officeDocument/2006/relationships/hyperlink" Target="http://www.dyc.edu/" TargetMode="External"/><Relationship Id="rId507" Type="http://schemas.openxmlformats.org/officeDocument/2006/relationships/hyperlink" Target="http://www.eou.edu/" TargetMode="External"/><Relationship Id="rId714" Type="http://schemas.openxmlformats.org/officeDocument/2006/relationships/hyperlink" Target="http://www.ben.edu/" TargetMode="External"/><Relationship Id="rId921" Type="http://schemas.openxmlformats.org/officeDocument/2006/relationships/hyperlink" Target="http://www.martin.edu/" TargetMode="External"/><Relationship Id="rId1137" Type="http://schemas.openxmlformats.org/officeDocument/2006/relationships/hyperlink" Target="http://www.nwalva.edu/" TargetMode="External"/><Relationship Id="rId1344" Type="http://schemas.openxmlformats.org/officeDocument/2006/relationships/hyperlink" Target="http://www.shsu.edu/" TargetMode="External"/><Relationship Id="rId1551" Type="http://schemas.openxmlformats.org/officeDocument/2006/relationships/hyperlink" Target="http://www.tabor.edu/" TargetMode="External"/><Relationship Id="rId1789" Type="http://schemas.openxmlformats.org/officeDocument/2006/relationships/hyperlink" Target="http://www.missouri.edu/" TargetMode="External"/><Relationship Id="rId1996" Type="http://schemas.openxmlformats.org/officeDocument/2006/relationships/hyperlink" Target="http://www.wcu.edu/" TargetMode="External"/><Relationship Id="rId50" Type="http://schemas.openxmlformats.org/officeDocument/2006/relationships/hyperlink" Target="http://www.andoncollege.com/" TargetMode="External"/><Relationship Id="rId146" Type="http://schemas.openxmlformats.org/officeDocument/2006/relationships/hyperlink" Target="http://www.bac.edu/" TargetMode="External"/><Relationship Id="rId353" Type="http://schemas.openxmlformats.org/officeDocument/2006/relationships/hyperlink" Target="http://www.coker.edu/" TargetMode="External"/><Relationship Id="rId560" Type="http://schemas.openxmlformats.org/officeDocument/2006/relationships/hyperlink" Target="http://www.fcc.edu/" TargetMode="External"/><Relationship Id="rId798" Type="http://schemas.openxmlformats.org/officeDocument/2006/relationships/hyperlink" Target="http://www.salem.kent.edu/" TargetMode="External"/><Relationship Id="rId1190" Type="http://schemas.openxmlformats.org/officeDocument/2006/relationships/hyperlink" Target="http://www.oru.edu/" TargetMode="External"/><Relationship Id="rId1204" Type="http://schemas.openxmlformats.org/officeDocument/2006/relationships/hyperlink" Target="http://www.pace.edu/campus/pville.html" TargetMode="External"/><Relationship Id="rId1411" Type="http://schemas.openxmlformats.org/officeDocument/2006/relationships/hyperlink" Target="http://www.scco.edu/" TargetMode="External"/><Relationship Id="rId1649" Type="http://schemas.openxmlformats.org/officeDocument/2006/relationships/hyperlink" Target="http://www.trumancollege.net/" TargetMode="External"/><Relationship Id="rId1856" Type="http://schemas.openxmlformats.org/officeDocument/2006/relationships/hyperlink" Target="http://www.uscs.edu/" TargetMode="External"/><Relationship Id="rId2034" Type="http://schemas.openxmlformats.org/officeDocument/2006/relationships/hyperlink" Target="http://www.wilberforce.edu/" TargetMode="External"/><Relationship Id="rId213" Type="http://schemas.openxmlformats.org/officeDocument/2006/relationships/hyperlink" Target="http://www.bryantstratton.edu/" TargetMode="External"/><Relationship Id="rId420" Type="http://schemas.openxmlformats.org/officeDocument/2006/relationships/hyperlink" Target="http://www.coppin.edu/" TargetMode="External"/><Relationship Id="rId658" Type="http://schemas.openxmlformats.org/officeDocument/2006/relationships/hyperlink" Target="http://www.hsc.edu/" TargetMode="External"/><Relationship Id="rId865" Type="http://schemas.openxmlformats.org/officeDocument/2006/relationships/hyperlink" Target="http://www.logan.edu/" TargetMode="External"/><Relationship Id="rId1050" Type="http://schemas.openxmlformats.org/officeDocument/2006/relationships/hyperlink" Target="http://www.muhlberg.edu/" TargetMode="External"/><Relationship Id="rId1288" Type="http://schemas.openxmlformats.org/officeDocument/2006/relationships/hyperlink" Target="http://www.rasmussen.edu/locations/north-dakota/" TargetMode="External"/><Relationship Id="rId1495" Type="http://schemas.openxmlformats.org/officeDocument/2006/relationships/hyperlink" Target="http://www.stephens.edu/" TargetMode="External"/><Relationship Id="rId1509" Type="http://schemas.openxmlformats.org/officeDocument/2006/relationships/hyperlink" Target="http://www.stjohns.edu/" TargetMode="External"/><Relationship Id="rId1716" Type="http://schemas.openxmlformats.org/officeDocument/2006/relationships/hyperlink" Target="http://vm.uconn.edu/~wwwhtfd/ugrad/" TargetMode="External"/><Relationship Id="rId1923" Type="http://schemas.openxmlformats.org/officeDocument/2006/relationships/hyperlink" Target="http://www.uiu.edu/" TargetMode="External"/><Relationship Id="rId297" Type="http://schemas.openxmlformats.org/officeDocument/2006/relationships/hyperlink" Target="http://www.centre.edu/" TargetMode="External"/><Relationship Id="rId518" Type="http://schemas.openxmlformats.org/officeDocument/2006/relationships/hyperlink" Target="http://www.ewc.edu/" TargetMode="External"/><Relationship Id="rId725" Type="http://schemas.openxmlformats.org/officeDocument/2006/relationships/hyperlink" Target="http://www.indtech.edu/" TargetMode="External"/><Relationship Id="rId932" Type="http://schemas.openxmlformats.org/officeDocument/2006/relationships/hyperlink" Target="http://www.marywood.edu/" TargetMode="External"/><Relationship Id="rId1148" Type="http://schemas.openxmlformats.org/officeDocument/2006/relationships/hyperlink" Target="http://www.ndc.edu/" TargetMode="External"/><Relationship Id="rId1355" Type="http://schemas.openxmlformats.org/officeDocument/2006/relationships/hyperlink" Target="http://www.scu.edu/" TargetMode="External"/><Relationship Id="rId1562" Type="http://schemas.openxmlformats.org/officeDocument/2006/relationships/hyperlink" Target="http://www.twcnet.edu/" TargetMode="External"/><Relationship Id="rId157" Type="http://schemas.openxmlformats.org/officeDocument/2006/relationships/hyperlink" Target="http://www.berea.edu/" TargetMode="External"/><Relationship Id="rId364" Type="http://schemas.openxmlformats.org/officeDocument/2006/relationships/hyperlink" Target="http://www.aero.edu/" TargetMode="External"/><Relationship Id="rId1008" Type="http://schemas.openxmlformats.org/officeDocument/2006/relationships/hyperlink" Target="http://www.mwsc.edu/" TargetMode="External"/><Relationship Id="rId1215" Type="http://schemas.openxmlformats.org/officeDocument/2006/relationships/hyperlink" Target="http://www.pba.edu/" TargetMode="External"/><Relationship Id="rId1422" Type="http://schemas.openxmlformats.org/officeDocument/2006/relationships/hyperlink" Target="http://www.subr.edu/" TargetMode="External"/><Relationship Id="rId1867" Type="http://schemas.openxmlformats.org/officeDocument/2006/relationships/hyperlink" Target="http://www.stthomas.edu/" TargetMode="External"/><Relationship Id="rId2045" Type="http://schemas.openxmlformats.org/officeDocument/2006/relationships/hyperlink" Target="http://www.williams.edu/" TargetMode="External"/><Relationship Id="rId61" Type="http://schemas.openxmlformats.org/officeDocument/2006/relationships/hyperlink" Target="http://www.appbibco.edu/" TargetMode="External"/><Relationship Id="rId571" Type="http://schemas.openxmlformats.org/officeDocument/2006/relationships/hyperlink" Target="http://www.fsu.edu/" TargetMode="External"/><Relationship Id="rId669" Type="http://schemas.openxmlformats.org/officeDocument/2006/relationships/hyperlink" Target="http://www.hartford.edu/SchoolsColleges/HCW/HCW.html" TargetMode="External"/><Relationship Id="rId876" Type="http://schemas.openxmlformats.org/officeDocument/2006/relationships/hyperlink" Target="http://www.lsua.edu/" TargetMode="External"/><Relationship Id="rId1299" Type="http://schemas.openxmlformats.org/officeDocument/2006/relationships/hyperlink" Target="http://www.ric.edu/" TargetMode="External"/><Relationship Id="rId1727" Type="http://schemas.openxmlformats.org/officeDocument/2006/relationships/hyperlink" Target="http://www.findlay.edu/" TargetMode="External"/><Relationship Id="rId1934" Type="http://schemas.openxmlformats.org/officeDocument/2006/relationships/hyperlink" Target="http://www.vanderbilt.edu/" TargetMode="External"/><Relationship Id="rId19" Type="http://schemas.openxmlformats.org/officeDocument/2006/relationships/hyperlink" Target="http://www.ab.edu/" TargetMode="External"/><Relationship Id="rId224" Type="http://schemas.openxmlformats.org/officeDocument/2006/relationships/hyperlink" Target="http://www.calcoast.edu/" TargetMode="External"/><Relationship Id="rId431" Type="http://schemas.openxmlformats.org/officeDocument/2006/relationships/hyperlink" Target="http://www.cumber.edu/" TargetMode="External"/><Relationship Id="rId529" Type="http://schemas.openxmlformats.org/officeDocument/2006/relationships/hyperlink" Target="http://www.emmanuel-college.edu/" TargetMode="External"/><Relationship Id="rId736" Type="http://schemas.openxmlformats.org/officeDocument/2006/relationships/hyperlink" Target="http://www.ius.indiana.edu/" TargetMode="External"/><Relationship Id="rId1061" Type="http://schemas.openxmlformats.org/officeDocument/2006/relationships/hyperlink" Target="http://www.national.edu/sioux_falls.html" TargetMode="External"/><Relationship Id="rId1159" Type="http://schemas.openxmlformats.org/officeDocument/2006/relationships/hyperlink" Target="http://www.oglethorpe.edu/" TargetMode="External"/><Relationship Id="rId1366" Type="http://schemas.openxmlformats.org/officeDocument/2006/relationships/hyperlink" Target="http://www.scrippscol.edu/" TargetMode="External"/><Relationship Id="rId168" Type="http://schemas.openxmlformats.org/officeDocument/2006/relationships/hyperlink" Target="http://www.uccs.edu/~bethel/" TargetMode="External"/><Relationship Id="rId943" Type="http://schemas.openxmlformats.org/officeDocument/2006/relationships/hyperlink" Target="http://www.mcm.edu/" TargetMode="External"/><Relationship Id="rId1019" Type="http://schemas.openxmlformats.org/officeDocument/2006/relationships/hyperlink" Target="http://www.moody.edu/" TargetMode="External"/><Relationship Id="rId1573" Type="http://schemas.openxmlformats.org/officeDocument/2006/relationships/hyperlink" Target="http://www.hsc.unt.edu/education/tcom/" TargetMode="External"/><Relationship Id="rId1780" Type="http://schemas.openxmlformats.org/officeDocument/2006/relationships/hyperlink" Target="http://www.umich.edu/" TargetMode="External"/><Relationship Id="rId1878" Type="http://schemas.openxmlformats.org/officeDocument/2006/relationships/hyperlink" Target="http://www.utdallas.edu/" TargetMode="External"/><Relationship Id="rId72" Type="http://schemas.openxmlformats.org/officeDocument/2006/relationships/hyperlink" Target="https://campus.asu.edu/west" TargetMode="External"/><Relationship Id="rId375" Type="http://schemas.openxmlformats.org/officeDocument/2006/relationships/hyperlink" Target="http://www.stkate.edu/" TargetMode="External"/><Relationship Id="rId582" Type="http://schemas.openxmlformats.org/officeDocument/2006/relationships/hyperlink" Target="http://www.franuniv.edu/" TargetMode="External"/><Relationship Id="rId803" Type="http://schemas.openxmlformats.org/officeDocument/2006/relationships/hyperlink" Target="http://www.kysu.edu/" TargetMode="External"/><Relationship Id="rId1226" Type="http://schemas.openxmlformats.org/officeDocument/2006/relationships/hyperlink" Target="http://www.pit.edu/" TargetMode="External"/><Relationship Id="rId1433" Type="http://schemas.openxmlformats.org/officeDocument/2006/relationships/hyperlink" Target="http://www.swbts.edu/" TargetMode="External"/><Relationship Id="rId1640" Type="http://schemas.openxmlformats.org/officeDocument/2006/relationships/hyperlink" Target="http://www.trinitydc.edu/" TargetMode="External"/><Relationship Id="rId1738" Type="http://schemas.openxmlformats.org/officeDocument/2006/relationships/hyperlink" Target="http://www.cl.uh.edu/" TargetMode="External"/><Relationship Id="rId2056" Type="http://schemas.openxmlformats.org/officeDocument/2006/relationships/hyperlink" Target="http://www.execpc.com/~wspp/" TargetMode="External"/><Relationship Id="rId3" Type="http://schemas.openxmlformats.org/officeDocument/2006/relationships/hyperlink" Target="http://www.adler.edu/" TargetMode="External"/><Relationship Id="rId235" Type="http://schemas.openxmlformats.org/officeDocument/2006/relationships/hyperlink" Target="http://www.cspp.edu/" TargetMode="External"/><Relationship Id="rId442" Type="http://schemas.openxmlformats.org/officeDocument/2006/relationships/hyperlink" Target="http://www.dartmouth.edu/" TargetMode="External"/><Relationship Id="rId887" Type="http://schemas.openxmlformats.org/officeDocument/2006/relationships/hyperlink" Target="http://www.lbi.edu/" TargetMode="External"/><Relationship Id="rId1072" Type="http://schemas.openxmlformats.org/officeDocument/2006/relationships/hyperlink" Target="http://www.naz.edu/" TargetMode="External"/><Relationship Id="rId1500" Type="http://schemas.openxmlformats.org/officeDocument/2006/relationships/hyperlink" Target="http://www.sfc.edu/" TargetMode="External"/><Relationship Id="rId1945" Type="http://schemas.openxmlformats.org/officeDocument/2006/relationships/hyperlink" Target="http://www.vic.edu/" TargetMode="External"/><Relationship Id="rId302" Type="http://schemas.openxmlformats.org/officeDocument/2006/relationships/hyperlink" Target="http://www.cdrewu.edu/" TargetMode="External"/><Relationship Id="rId747" Type="http://schemas.openxmlformats.org/officeDocument/2006/relationships/hyperlink" Target="http://www.internationalcollege.edu/" TargetMode="External"/><Relationship Id="rId954" Type="http://schemas.openxmlformats.org/officeDocument/2006/relationships/hyperlink" Target="http://www.mca.edu/" TargetMode="External"/><Relationship Id="rId1377" Type="http://schemas.openxmlformats.org/officeDocument/2006/relationships/hyperlink" Target="http://www.sherman.edu/" TargetMode="External"/><Relationship Id="rId1584" Type="http://schemas.openxmlformats.org/officeDocument/2006/relationships/hyperlink" Target="http://www.bostonconservatory.edu/" TargetMode="External"/><Relationship Id="rId1791" Type="http://schemas.openxmlformats.org/officeDocument/2006/relationships/hyperlink" Target="http://www.umsl.edu/" TargetMode="External"/><Relationship Id="rId1805" Type="http://schemas.openxmlformats.org/officeDocument/2006/relationships/hyperlink" Target="http://www.unh.edu/" TargetMode="External"/><Relationship Id="rId83" Type="http://schemas.openxmlformats.org/officeDocument/2006/relationships/hyperlink" Target="http://www.adlsom.edu/" TargetMode="External"/><Relationship Id="rId179" Type="http://schemas.openxmlformats.org/officeDocument/2006/relationships/hyperlink" Target="http://www.bluefield.edu/" TargetMode="External"/><Relationship Id="rId386" Type="http://schemas.openxmlformats.org/officeDocument/2006/relationships/hyperlink" Target="http://www.ccu.edu/" TargetMode="External"/><Relationship Id="rId593" Type="http://schemas.openxmlformats.org/officeDocument/2006/relationships/hyperlink" Target="http://www.vtu.edu/" TargetMode="External"/><Relationship Id="rId607" Type="http://schemas.openxmlformats.org/officeDocument/2006/relationships/hyperlink" Target="http://www.gmu.edu/" TargetMode="External"/><Relationship Id="rId814" Type="http://schemas.openxmlformats.org/officeDocument/2006/relationships/hyperlink" Target="http://www.kutztown.edu/" TargetMode="External"/><Relationship Id="rId1237" Type="http://schemas.openxmlformats.org/officeDocument/2006/relationships/hyperlink" Target="http://www.sl.psu.edu/" TargetMode="External"/><Relationship Id="rId1444" Type="http://schemas.openxmlformats.org/officeDocument/2006/relationships/hyperlink" Target="http://www.swt.edu/" TargetMode="External"/><Relationship Id="rId1651" Type="http://schemas.openxmlformats.org/officeDocument/2006/relationships/hyperlink" Target="http://www.tufts.edu/" TargetMode="External"/><Relationship Id="rId1889" Type="http://schemas.openxmlformats.org/officeDocument/2006/relationships/hyperlink" Target="http://www.utsouthwestern.edu/" TargetMode="External"/><Relationship Id="rId2067" Type="http://schemas.openxmlformats.org/officeDocument/2006/relationships/hyperlink" Target="http://www.yu.edu/" TargetMode="External"/><Relationship Id="rId246" Type="http://schemas.openxmlformats.org/officeDocument/2006/relationships/hyperlink" Target="http://www.csuhayward.edu/" TargetMode="External"/><Relationship Id="rId453" Type="http://schemas.openxmlformats.org/officeDocument/2006/relationships/hyperlink" Target="http://www.deltast.edu/" TargetMode="External"/><Relationship Id="rId660" Type="http://schemas.openxmlformats.org/officeDocument/2006/relationships/hyperlink" Target="http://www.hamptoncollege.org/" TargetMode="External"/><Relationship Id="rId898" Type="http://schemas.openxmlformats.org/officeDocument/2006/relationships/hyperlink" Target="http://madonna2.siteobjects.com/pages/index.cfm" TargetMode="External"/><Relationship Id="rId1083" Type="http://schemas.openxmlformats.org/officeDocument/2006/relationships/hyperlink" Target="http://www.neit.edu/" TargetMode="External"/><Relationship Id="rId1290" Type="http://schemas.openxmlformats.org/officeDocument/2006/relationships/hyperlink" Target="http://www.reed.edu/" TargetMode="External"/><Relationship Id="rId1304" Type="http://schemas.openxmlformats.org/officeDocument/2006/relationships/hyperlink" Target="http://www.rider.edu/" TargetMode="External"/><Relationship Id="rId1511" Type="http://schemas.openxmlformats.org/officeDocument/2006/relationships/hyperlink" Target="http://www.stfrancis.edu/sjcn/sjcnhome.htm" TargetMode="External"/><Relationship Id="rId1749" Type="http://schemas.openxmlformats.org/officeDocument/2006/relationships/hyperlink" Target="http://www.uky.edu/" TargetMode="External"/><Relationship Id="rId1956" Type="http://schemas.openxmlformats.org/officeDocument/2006/relationships/hyperlink" Target="http://www.wfu.edu/" TargetMode="External"/><Relationship Id="rId106" Type="http://schemas.openxmlformats.org/officeDocument/2006/relationships/hyperlink" Target="http://www.apsu.edu/" TargetMode="External"/><Relationship Id="rId313" Type="http://schemas.openxmlformats.org/officeDocument/2006/relationships/hyperlink" Target="http://www.cnu.edu/" TargetMode="External"/><Relationship Id="rId758" Type="http://schemas.openxmlformats.org/officeDocument/2006/relationships/hyperlink" Target="http://www.jsu.edu/" TargetMode="External"/><Relationship Id="rId965" Type="http://schemas.openxmlformats.org/officeDocument/2006/relationships/hyperlink" Target="http://www.methodist.edu/" TargetMode="External"/><Relationship Id="rId1150" Type="http://schemas.openxmlformats.org/officeDocument/2006/relationships/hyperlink" Target="http://www.nova.edu/" TargetMode="External"/><Relationship Id="rId1388" Type="http://schemas.openxmlformats.org/officeDocument/2006/relationships/hyperlink" Target="http://www.simpsonca.edu/" TargetMode="External"/><Relationship Id="rId1595" Type="http://schemas.openxmlformats.org/officeDocument/2006/relationships/hyperlink" Target="http://www.curtis.edu/" TargetMode="External"/><Relationship Id="rId1609" Type="http://schemas.openxmlformats.org/officeDocument/2006/relationships/hyperlink" Target="http://www.scripps.edu/" TargetMode="External"/><Relationship Id="rId1816" Type="http://schemas.openxmlformats.org/officeDocument/2006/relationships/hyperlink" Target="http://www.uncp.edu/" TargetMode="External"/><Relationship Id="rId10" Type="http://schemas.openxmlformats.org/officeDocument/2006/relationships/hyperlink" Target="http://www.alaskapacific.edu/" TargetMode="External"/><Relationship Id="rId94" Type="http://schemas.openxmlformats.org/officeDocument/2006/relationships/hyperlink" Target="http://www.atlanticuc.edu/" TargetMode="External"/><Relationship Id="rId397" Type="http://schemas.openxmlformats.org/officeDocument/2006/relationships/hyperlink" Target="http://www.ciu.edu/" TargetMode="External"/><Relationship Id="rId520" Type="http://schemas.openxmlformats.org/officeDocument/2006/relationships/hyperlink" Target="http://www.etown.edu/" TargetMode="External"/><Relationship Id="rId618" Type="http://schemas.openxmlformats.org/officeDocument/2006/relationships/hyperlink" Target="http://www.georgiasouthern.edu/" TargetMode="External"/><Relationship Id="rId825" Type="http://schemas.openxmlformats.org/officeDocument/2006/relationships/hyperlink" Target="http://www.pa.lamar.edu/" TargetMode="External"/><Relationship Id="rId1248" Type="http://schemas.openxmlformats.org/officeDocument/2006/relationships/hyperlink" Target="http://www.piedmont.edu/" TargetMode="External"/><Relationship Id="rId1455" Type="http://schemas.openxmlformats.org/officeDocument/2006/relationships/hyperlink" Target="http://www.sapc.edu/" TargetMode="External"/><Relationship Id="rId1662" Type="http://schemas.openxmlformats.org/officeDocument/2006/relationships/hyperlink" Target="http://www.cga.edu/" TargetMode="External"/><Relationship Id="rId257" Type="http://schemas.openxmlformats.org/officeDocument/2006/relationships/hyperlink" Target="http://www.cwsl.edu/" TargetMode="External"/><Relationship Id="rId464" Type="http://schemas.openxmlformats.org/officeDocument/2006/relationships/hyperlink" Target="http://www.dcl.edu/" TargetMode="External"/><Relationship Id="rId1010" Type="http://schemas.openxmlformats.org/officeDocument/2006/relationships/hyperlink" Target="http://www.monmouth.edu/" TargetMode="External"/><Relationship Id="rId1094" Type="http://schemas.openxmlformats.org/officeDocument/2006/relationships/hyperlink" Target="http://www.newschoolarch.edu/" TargetMode="External"/><Relationship Id="rId1108" Type="http://schemas.openxmlformats.org/officeDocument/2006/relationships/hyperlink" Target="http://www.ncat.edu/" TargetMode="External"/><Relationship Id="rId1315" Type="http://schemas.openxmlformats.org/officeDocument/2006/relationships/hyperlink" Target="http://www.rockford.edu/" TargetMode="External"/><Relationship Id="rId1967" Type="http://schemas.openxmlformats.org/officeDocument/2006/relationships/hyperlink" Target="http://www.bible.edu/" TargetMode="External"/><Relationship Id="rId117" Type="http://schemas.openxmlformats.org/officeDocument/2006/relationships/hyperlink" Target="http://www.baker.edu/visit/owosso.html" TargetMode="External"/><Relationship Id="rId671" Type="http://schemas.openxmlformats.org/officeDocument/2006/relationships/hyperlink" Target="http://www.hartwick.edu/" TargetMode="External"/><Relationship Id="rId769" Type="http://schemas.openxmlformats.org/officeDocument/2006/relationships/hyperlink" Target="http://www.jbc.edu/" TargetMode="External"/><Relationship Id="rId976" Type="http://schemas.openxmlformats.org/officeDocument/2006/relationships/hyperlink" Target="http://www.mnu.edu/" TargetMode="External"/><Relationship Id="rId1399" Type="http://schemas.openxmlformats.org/officeDocument/2006/relationships/hyperlink" Target="http://www.sdsmt.edu/" TargetMode="External"/><Relationship Id="rId324" Type="http://schemas.openxmlformats.org/officeDocument/2006/relationships/hyperlink" Target="http://www.lehman.cuny.edu/" TargetMode="External"/><Relationship Id="rId531" Type="http://schemas.openxmlformats.org/officeDocument/2006/relationships/hyperlink" Target="http://www.ehc.edu/" TargetMode="External"/><Relationship Id="rId629" Type="http://schemas.openxmlformats.org/officeDocument/2006/relationships/hyperlink" Target="http://www.gordon.edu/" TargetMode="External"/><Relationship Id="rId1161" Type="http://schemas.openxmlformats.org/officeDocument/2006/relationships/hyperlink" Target="http://www.odc.edu/" TargetMode="External"/><Relationship Id="rId1259" Type="http://schemas.openxmlformats.org/officeDocument/2006/relationships/hyperlink" Target="http://www.pomona.edu/" TargetMode="External"/><Relationship Id="rId1466" Type="http://schemas.openxmlformats.org/officeDocument/2006/relationships/hyperlink" Target="http://www.cortland.edu/" TargetMode="External"/><Relationship Id="rId2005" Type="http://schemas.openxmlformats.org/officeDocument/2006/relationships/hyperlink" Target="http://www.wnmu.edu/" TargetMode="External"/><Relationship Id="rId836" Type="http://schemas.openxmlformats.org/officeDocument/2006/relationships/hyperlink" Target="http://www.ltu.edu/" TargetMode="External"/><Relationship Id="rId1021" Type="http://schemas.openxmlformats.org/officeDocument/2006/relationships/hyperlink" Target="http://www.moorhead.msus.edu/" TargetMode="External"/><Relationship Id="rId1119" Type="http://schemas.openxmlformats.org/officeDocument/2006/relationships/hyperlink" Target="http://www.nsuok.edu/" TargetMode="External"/><Relationship Id="rId1673" Type="http://schemas.openxmlformats.org/officeDocument/2006/relationships/hyperlink" Target="http://www.ua.edu/" TargetMode="External"/><Relationship Id="rId1880" Type="http://schemas.openxmlformats.org/officeDocument/2006/relationships/hyperlink" Target="http://www.utsa.edu/" TargetMode="External"/><Relationship Id="rId1978" Type="http://schemas.openxmlformats.org/officeDocument/2006/relationships/hyperlink" Target="http://www.webber.edu/" TargetMode="External"/><Relationship Id="rId903" Type="http://schemas.openxmlformats.org/officeDocument/2006/relationships/hyperlink" Target="http://www.manchester.edu/" TargetMode="External"/><Relationship Id="rId1326" Type="http://schemas.openxmlformats.org/officeDocument/2006/relationships/hyperlink" Target="http://www.rossmed.edu/" TargetMode="External"/><Relationship Id="rId1533" Type="http://schemas.openxmlformats.org/officeDocument/2006/relationships/hyperlink" Target="http://www.snc.edu/" TargetMode="External"/><Relationship Id="rId1740" Type="http://schemas.openxmlformats.org/officeDocument/2006/relationships/hyperlink" Target="http://www.vic.uh.edu/" TargetMode="External"/><Relationship Id="rId32" Type="http://schemas.openxmlformats.org/officeDocument/2006/relationships/hyperlink" Target="http://members.aol.com/amerconsmu/" TargetMode="External"/><Relationship Id="rId1600" Type="http://schemas.openxmlformats.org/officeDocument/2006/relationships/hyperlink" Target="http://www.juilliard.edu/" TargetMode="External"/><Relationship Id="rId1838" Type="http://schemas.openxmlformats.org/officeDocument/2006/relationships/hyperlink" Target="http://www.uofport.edu/" TargetMode="External"/><Relationship Id="rId181" Type="http://schemas.openxmlformats.org/officeDocument/2006/relationships/hyperlink" Target="http://www.bmc.edu/" TargetMode="External"/><Relationship Id="rId1905" Type="http://schemas.openxmlformats.org/officeDocument/2006/relationships/hyperlink" Target="http://www.tacoma.washington.edu/" TargetMode="External"/><Relationship Id="rId279" Type="http://schemas.openxmlformats.org/officeDocument/2006/relationships/hyperlink" Target="http://www.cwru.edu/" TargetMode="External"/><Relationship Id="rId486" Type="http://schemas.openxmlformats.org/officeDocument/2006/relationships/hyperlink" Target="http://www.drake.edu/" TargetMode="External"/><Relationship Id="rId693" Type="http://schemas.openxmlformats.org/officeDocument/2006/relationships/hyperlink" Target="http://www.holy-apostles.org/" TargetMode="External"/><Relationship Id="rId139" Type="http://schemas.openxmlformats.org/officeDocument/2006/relationships/hyperlink" Target="http://www.tambcd.edu/" TargetMode="External"/><Relationship Id="rId346" Type="http://schemas.openxmlformats.org/officeDocument/2006/relationships/hyperlink" Target="http://www.clevelandchiropractic.edu/" TargetMode="External"/><Relationship Id="rId553" Type="http://schemas.openxmlformats.org/officeDocument/2006/relationships/hyperlink" Target="http://www.finlandia.edu/" TargetMode="External"/><Relationship Id="rId760" Type="http://schemas.openxmlformats.org/officeDocument/2006/relationships/hyperlink" Target="http://www.jmu.edu/" TargetMode="External"/><Relationship Id="rId998" Type="http://schemas.openxmlformats.org/officeDocument/2006/relationships/hyperlink" Target="http://www.misu.nodak.edu/" TargetMode="External"/><Relationship Id="rId1183" Type="http://schemas.openxmlformats.org/officeDocument/2006/relationships/hyperlink" Target="http://www.osuokc.edu/" TargetMode="External"/><Relationship Id="rId1390" Type="http://schemas.openxmlformats.org/officeDocument/2006/relationships/hyperlink" Target="http://sinte.indian.com/" TargetMode="External"/><Relationship Id="rId2027" Type="http://schemas.openxmlformats.org/officeDocument/2006/relationships/hyperlink" Target="http://www.wju.edu/" TargetMode="External"/><Relationship Id="rId206" Type="http://schemas.openxmlformats.org/officeDocument/2006/relationships/hyperlink" Target="http://www.byu.edu/" TargetMode="External"/><Relationship Id="rId413" Type="http://schemas.openxmlformats.org/officeDocument/2006/relationships/hyperlink" Target="http://www.cui.edu/" TargetMode="External"/><Relationship Id="rId858" Type="http://schemas.openxmlformats.org/officeDocument/2006/relationships/hyperlink" Target="http://www.lincolnuca.edu/" TargetMode="External"/><Relationship Id="rId1043" Type="http://schemas.openxmlformats.org/officeDocument/2006/relationships/hyperlink" Target="http://www.clare.edu/" TargetMode="External"/><Relationship Id="rId1488" Type="http://schemas.openxmlformats.org/officeDocument/2006/relationships/hyperlink" Target="http://www.st-aug.edu/" TargetMode="External"/><Relationship Id="rId1695" Type="http://schemas.openxmlformats.org/officeDocument/2006/relationships/hyperlink" Target="http://www.ucr.edu/" TargetMode="External"/><Relationship Id="rId620" Type="http://schemas.openxmlformats.org/officeDocument/2006/relationships/hyperlink" Target="http://www.gsu.edu/" TargetMode="External"/><Relationship Id="rId718" Type="http://schemas.openxmlformats.org/officeDocument/2006/relationships/hyperlink" Target="http://www.aspp.edu/ilch.html" TargetMode="External"/><Relationship Id="rId925" Type="http://schemas.openxmlformats.org/officeDocument/2006/relationships/hyperlink" Target="http://www.marylhurst.edu/" TargetMode="External"/><Relationship Id="rId1250" Type="http://schemas.openxmlformats.org/officeDocument/2006/relationships/hyperlink" Target="http://www.pillsbury.edu/" TargetMode="External"/><Relationship Id="rId1348" Type="http://schemas.openxmlformats.org/officeDocument/2006/relationships/hyperlink" Target="http://www.sbjacksonville.com/" TargetMode="External"/><Relationship Id="rId1555" Type="http://schemas.openxmlformats.org/officeDocument/2006/relationships/hyperlink" Target="http://www.tayloru.edu/fw/" TargetMode="External"/><Relationship Id="rId1762" Type="http://schemas.openxmlformats.org/officeDocument/2006/relationships/hyperlink" Target="http://www.umary.edu/" TargetMode="External"/><Relationship Id="rId1110" Type="http://schemas.openxmlformats.org/officeDocument/2006/relationships/hyperlink" Target="http://www.ncarts.edu/" TargetMode="External"/><Relationship Id="rId1208" Type="http://schemas.openxmlformats.org/officeDocument/2006/relationships/hyperlink" Target="http://www.plu.edu/" TargetMode="External"/><Relationship Id="rId1415" Type="http://schemas.openxmlformats.org/officeDocument/2006/relationships/hyperlink" Target="http://www.siu.edu/" TargetMode="External"/><Relationship Id="rId54" Type="http://schemas.openxmlformats.org/officeDocument/2006/relationships/hyperlink" Target="http://www.angelo.edu/" TargetMode="External"/><Relationship Id="rId1622" Type="http://schemas.openxmlformats.org/officeDocument/2006/relationships/hyperlink" Target="http://www.tiffin.edu/" TargetMode="External"/><Relationship Id="rId1927" Type="http://schemas.openxmlformats.org/officeDocument/2006/relationships/hyperlink" Target="http://www.usu.edu/" TargetMode="External"/><Relationship Id="rId270" Type="http://schemas.openxmlformats.org/officeDocument/2006/relationships/hyperlink" Target="http://www.stritch.edu/" TargetMode="External"/><Relationship Id="rId130" Type="http://schemas.openxmlformats.org/officeDocument/2006/relationships/hyperlink" Target="http://www.bard.edu/" TargetMode="External"/><Relationship Id="rId368" Type="http://schemas.openxmlformats.org/officeDocument/2006/relationships/hyperlink" Target="http://www.msj.edu/" TargetMode="External"/><Relationship Id="rId575" Type="http://schemas.openxmlformats.org/officeDocument/2006/relationships/hyperlink" Target="http://www.fordham.edu/" TargetMode="External"/><Relationship Id="rId782" Type="http://schemas.openxmlformats.org/officeDocument/2006/relationships/hyperlink" Target="http://www.kankakeecc.org/" TargetMode="External"/><Relationship Id="rId2049" Type="http://schemas.openxmlformats.org/officeDocument/2006/relationships/hyperlink" Target="http://www.wilmington.edu/" TargetMode="External"/><Relationship Id="rId228" Type="http://schemas.openxmlformats.org/officeDocument/2006/relationships/hyperlink" Target="http://www.cc-sd.edu/" TargetMode="External"/><Relationship Id="rId435" Type="http://schemas.openxmlformats.org/officeDocument/2006/relationships/hyperlink" Target="http://www.dsu.edu/" TargetMode="External"/><Relationship Id="rId642" Type="http://schemas.openxmlformats.org/officeDocument/2006/relationships/hyperlink" Target="http://www.gvc.edu/" TargetMode="External"/><Relationship Id="rId1065" Type="http://schemas.openxmlformats.org/officeDocument/2006/relationships/hyperlink" Target="http://www.nhu.edu/" TargetMode="External"/><Relationship Id="rId1272" Type="http://schemas.openxmlformats.org/officeDocument/2006/relationships/hyperlink" Target="http://www.purdue.edu/" TargetMode="External"/><Relationship Id="rId502" Type="http://schemas.openxmlformats.org/officeDocument/2006/relationships/hyperlink" Target="http://www.eku.edu/" TargetMode="External"/><Relationship Id="rId947" Type="http://schemas.openxmlformats.org/officeDocument/2006/relationships/hyperlink" Target="http://www.medcenterone.com/nursing/nursing.htm" TargetMode="External"/><Relationship Id="rId1132" Type="http://schemas.openxmlformats.org/officeDocument/2006/relationships/hyperlink" Target="http://www.nwcc.edu/" TargetMode="External"/><Relationship Id="rId1577" Type="http://schemas.openxmlformats.org/officeDocument/2006/relationships/hyperlink" Target="http://www.ttuhsc.edu/" TargetMode="External"/><Relationship Id="rId1784" Type="http://schemas.openxmlformats.org/officeDocument/2006/relationships/hyperlink" Target="http://www.d.umn.edu/" TargetMode="External"/><Relationship Id="rId1991" Type="http://schemas.openxmlformats.org/officeDocument/2006/relationships/hyperlink" Target="http://www.westbrooku.edu/" TargetMode="External"/><Relationship Id="rId76" Type="http://schemas.openxmlformats.org/officeDocument/2006/relationships/hyperlink" Target="http://www.asun.edu/" TargetMode="External"/><Relationship Id="rId807" Type="http://schemas.openxmlformats.org/officeDocument/2006/relationships/hyperlink" Target="http://www.keuka.edu/" TargetMode="External"/><Relationship Id="rId1437" Type="http://schemas.openxmlformats.org/officeDocument/2006/relationships/hyperlink" Target="http://www.swc.edu/" TargetMode="External"/><Relationship Id="rId1644" Type="http://schemas.openxmlformats.org/officeDocument/2006/relationships/hyperlink" Target="http://www.troy.edu/" TargetMode="External"/><Relationship Id="rId1851" Type="http://schemas.openxmlformats.org/officeDocument/2006/relationships/hyperlink" Target="http://www.sc.edu/" TargetMode="External"/><Relationship Id="rId1504" Type="http://schemas.openxmlformats.org/officeDocument/2006/relationships/hyperlink" Target="http://www.stillman.edu/" TargetMode="External"/><Relationship Id="rId1711" Type="http://schemas.openxmlformats.org/officeDocument/2006/relationships/hyperlink" Target="http://www.uccs.edu/" TargetMode="External"/><Relationship Id="rId1949" Type="http://schemas.openxmlformats.org/officeDocument/2006/relationships/hyperlink" Target="http://www.vsu.edu/" TargetMode="External"/><Relationship Id="rId292" Type="http://schemas.openxmlformats.org/officeDocument/2006/relationships/hyperlink" Target="http://www.ccsu.edu/" TargetMode="External"/><Relationship Id="rId1809" Type="http://schemas.openxmlformats.org/officeDocument/2006/relationships/hyperlink" Target="http://www.uno.edu/" TargetMode="External"/><Relationship Id="rId597" Type="http://schemas.openxmlformats.org/officeDocument/2006/relationships/hyperlink" Target="http://www.friends.edu/" TargetMode="External"/><Relationship Id="rId152" Type="http://schemas.openxmlformats.org/officeDocument/2006/relationships/hyperlink" Target="http://www.ben.edu/" TargetMode="External"/><Relationship Id="rId457" Type="http://schemas.openxmlformats.org/officeDocument/2006/relationships/hyperlink" Target="http://www.depaul.edu/" TargetMode="External"/><Relationship Id="rId1087" Type="http://schemas.openxmlformats.org/officeDocument/2006/relationships/hyperlink" Target="http://www.nhc.edu/" TargetMode="External"/><Relationship Id="rId1294" Type="http://schemas.openxmlformats.org/officeDocument/2006/relationships/hyperlink" Target="http://www.regiscollege.edu/" TargetMode="External"/><Relationship Id="rId2040" Type="http://schemas.openxmlformats.org/officeDocument/2006/relationships/hyperlink" Target="http://www.jewell.edu/" TargetMode="External"/><Relationship Id="rId664" Type="http://schemas.openxmlformats.org/officeDocument/2006/relationships/hyperlink" Target="http://www.harding.edu/" TargetMode="External"/><Relationship Id="rId871" Type="http://schemas.openxmlformats.org/officeDocument/2006/relationships/hyperlink" Target="http://www.loras.edu/" TargetMode="External"/><Relationship Id="rId969" Type="http://schemas.openxmlformats.org/officeDocument/2006/relationships/hyperlink" Target="http://www.mdc.edu/" TargetMode="External"/><Relationship Id="rId1599" Type="http://schemas.openxmlformats.org/officeDocument/2006/relationships/hyperlink" Target="http://www.jhu.edu/" TargetMode="External"/><Relationship Id="rId317" Type="http://schemas.openxmlformats.org/officeDocument/2006/relationships/hyperlink" Target="http://www.brooklyn.cuny.edu/" TargetMode="External"/><Relationship Id="rId524" Type="http://schemas.openxmlformats.org/officeDocument/2006/relationships/hyperlink" Target="http://www.elon.edu/" TargetMode="External"/><Relationship Id="rId731" Type="http://schemas.openxmlformats.org/officeDocument/2006/relationships/hyperlink" Target="http://www.iun.indiana.edu/" TargetMode="External"/><Relationship Id="rId1154" Type="http://schemas.openxmlformats.org/officeDocument/2006/relationships/hyperlink" Target="http://www.oakton.edu/" TargetMode="External"/><Relationship Id="rId1361" Type="http://schemas.openxmlformats.org/officeDocument/2006/relationships/hyperlink" Target="http://www.scholl.edu/" TargetMode="External"/><Relationship Id="rId1459" Type="http://schemas.openxmlformats.org/officeDocument/2006/relationships/hyperlink" Target="http://www.albany.edu/" TargetMode="External"/><Relationship Id="rId98" Type="http://schemas.openxmlformats.org/officeDocument/2006/relationships/hyperlink" Target="http://www.audrey-cohen.edu/" TargetMode="External"/><Relationship Id="rId829" Type="http://schemas.openxmlformats.org/officeDocument/2006/relationships/hyperlink" Target="http://www.lanecollege.edu/" TargetMode="External"/><Relationship Id="rId1014" Type="http://schemas.openxmlformats.org/officeDocument/2006/relationships/hyperlink" Target="http://www.mtech.edu/" TargetMode="External"/><Relationship Id="rId1221" Type="http://schemas.openxmlformats.org/officeDocument/2006/relationships/hyperlink" Target="http://www.pqc.edu/" TargetMode="External"/><Relationship Id="rId1666" Type="http://schemas.openxmlformats.org/officeDocument/2006/relationships/hyperlink" Target="http://www.usna.edu/" TargetMode="External"/><Relationship Id="rId1873" Type="http://schemas.openxmlformats.org/officeDocument/2006/relationships/hyperlink" Target="http://www.utsi.edu/" TargetMode="External"/><Relationship Id="rId1319" Type="http://schemas.openxmlformats.org/officeDocument/2006/relationships/hyperlink" Target="http://www.rmcad.edu/" TargetMode="External"/><Relationship Id="rId1526" Type="http://schemas.openxmlformats.org/officeDocument/2006/relationships/hyperlink" Target="http://www.saintmarys.edu/" TargetMode="External"/><Relationship Id="rId1733" Type="http://schemas.openxmlformats.org/officeDocument/2006/relationships/hyperlink" Target="http://www.uhm.hawaii.edu/" TargetMode="External"/><Relationship Id="rId1940" Type="http://schemas.openxmlformats.org/officeDocument/2006/relationships/hyperlink" Target="http://www.vtc.vsc.edu/" TargetMode="External"/><Relationship Id="rId25" Type="http://schemas.openxmlformats.org/officeDocument/2006/relationships/hyperlink" Target="http://www.alma.edu/" TargetMode="External"/><Relationship Id="rId1800" Type="http://schemas.openxmlformats.org/officeDocument/2006/relationships/hyperlink" Target="http://www.nebraska.edu/" TargetMode="External"/><Relationship Id="rId174" Type="http://schemas.openxmlformats.org/officeDocument/2006/relationships/hyperlink" Target="http://www.bhc.edu/" TargetMode="External"/><Relationship Id="rId381" Type="http://schemas.openxmlformats.org/officeDocument/2006/relationships/hyperlink" Target="http://www.coa.edu/" TargetMode="External"/><Relationship Id="rId2062" Type="http://schemas.openxmlformats.org/officeDocument/2006/relationships/hyperlink" Target="http://www.wrightinst.edu/" TargetMode="External"/><Relationship Id="rId241" Type="http://schemas.openxmlformats.org/officeDocument/2006/relationships/hyperlink" Target="http://www.csuci.edu/" TargetMode="External"/><Relationship Id="rId479" Type="http://schemas.openxmlformats.org/officeDocument/2006/relationships/hyperlink" Target="http://www.dc.edu/" TargetMode="External"/><Relationship Id="rId686" Type="http://schemas.openxmlformats.org/officeDocument/2006/relationships/hyperlink" Target="http://www.hillsdale.edu/" TargetMode="External"/><Relationship Id="rId893" Type="http://schemas.openxmlformats.org/officeDocument/2006/relationships/hyperlink" Target="http://www.lyon.edu/" TargetMode="External"/><Relationship Id="rId339" Type="http://schemas.openxmlformats.org/officeDocument/2006/relationships/hyperlink" Target="http://www.clarkson.edu/" TargetMode="External"/><Relationship Id="rId546" Type="http://schemas.openxmlformats.org/officeDocument/2006/relationships/hyperlink" Target="http://www.faulkner.edu/" TargetMode="External"/><Relationship Id="rId753" Type="http://schemas.openxmlformats.org/officeDocument/2006/relationships/hyperlink" Target="http://www.itttech.edu/campus/" TargetMode="External"/><Relationship Id="rId1176" Type="http://schemas.openxmlformats.org/officeDocument/2006/relationships/hyperlink" Target="http://www.okbu.edu/" TargetMode="External"/><Relationship Id="rId1383" Type="http://schemas.openxmlformats.org/officeDocument/2006/relationships/hyperlink" Target="http://www.sienahts.edu/" TargetMode="External"/><Relationship Id="rId101" Type="http://schemas.openxmlformats.org/officeDocument/2006/relationships/hyperlink" Target="http://www.augie.edu/" TargetMode="External"/><Relationship Id="rId406" Type="http://schemas.openxmlformats.org/officeDocument/2006/relationships/hyperlink" Target="http://www.ccaa.edu/" TargetMode="External"/><Relationship Id="rId960" Type="http://schemas.openxmlformats.org/officeDocument/2006/relationships/hyperlink" Target="http://www.mercyhurst.edu/" TargetMode="External"/><Relationship Id="rId1036" Type="http://schemas.openxmlformats.org/officeDocument/2006/relationships/hyperlink" Target="http://www.mountida.edu/" TargetMode="External"/><Relationship Id="rId1243" Type="http://schemas.openxmlformats.org/officeDocument/2006/relationships/hyperlink" Target="http://www.philau.edu/" TargetMode="External"/><Relationship Id="rId1590" Type="http://schemas.openxmlformats.org/officeDocument/2006/relationships/hyperlink" Target="http://www.css.edu/" TargetMode="External"/><Relationship Id="rId1688" Type="http://schemas.openxmlformats.org/officeDocument/2006/relationships/hyperlink" Target="http://www.berkeley.edu/" TargetMode="External"/><Relationship Id="rId1895" Type="http://schemas.openxmlformats.org/officeDocument/2006/relationships/hyperlink" Target="http://www.usip.edu/" TargetMode="External"/><Relationship Id="rId613" Type="http://schemas.openxmlformats.org/officeDocument/2006/relationships/hyperlink" Target="http://www.gcsu.edu/" TargetMode="External"/><Relationship Id="rId820" Type="http://schemas.openxmlformats.org/officeDocument/2006/relationships/hyperlink" Target="http://www.lfgsm.edu/" TargetMode="External"/><Relationship Id="rId918" Type="http://schemas.openxmlformats.org/officeDocument/2006/relationships/hyperlink" Target="http://www.mhc.edu/" TargetMode="External"/><Relationship Id="rId1450" Type="http://schemas.openxmlformats.org/officeDocument/2006/relationships/hyperlink" Target="http://www.spfldcol.edu/" TargetMode="External"/><Relationship Id="rId1548" Type="http://schemas.openxmlformats.org/officeDocument/2006/relationships/hyperlink" Target="http://www.swarthmore.edu/" TargetMode="External"/><Relationship Id="rId1755" Type="http://schemas.openxmlformats.org/officeDocument/2006/relationships/hyperlink" Target="http://www.umf.maine.edu/" TargetMode="External"/><Relationship Id="rId1103" Type="http://schemas.openxmlformats.org/officeDocument/2006/relationships/hyperlink" Target="http://www.nyu.edu/" TargetMode="External"/><Relationship Id="rId1310" Type="http://schemas.openxmlformats.org/officeDocument/2006/relationships/hyperlink" Target="http://www.robert-morris.edu/" TargetMode="External"/><Relationship Id="rId1408" Type="http://schemas.openxmlformats.org/officeDocument/2006/relationships/hyperlink" Target="http://www.southern.edu/" TargetMode="External"/><Relationship Id="rId1962" Type="http://schemas.openxmlformats.org/officeDocument/2006/relationships/hyperlink" Target="http://www.warner.edu/" TargetMode="External"/><Relationship Id="rId47" Type="http://schemas.openxmlformats.org/officeDocument/2006/relationships/hyperlink" Target="http://www.amherst.edu/" TargetMode="External"/><Relationship Id="rId1615" Type="http://schemas.openxmlformats.org/officeDocument/2006/relationships/hyperlink" Target="http://www.thomasaquinas.edu/" TargetMode="External"/><Relationship Id="rId1822" Type="http://schemas.openxmlformats.org/officeDocument/2006/relationships/hyperlink" Target="http://www.unw.edu/" TargetMode="External"/><Relationship Id="rId196" Type="http://schemas.openxmlformats.org/officeDocument/2006/relationships/hyperlink" Target="http://www.brandman.edu/" TargetMode="External"/><Relationship Id="rId263" Type="http://schemas.openxmlformats.org/officeDocument/2006/relationships/hyperlink" Target="http://www.campbellsvil.edu/" TargetMode="External"/><Relationship Id="rId470" Type="http://schemas.openxmlformats.org/officeDocument/2006/relationships/hyperlink" Target="http://www.kc.devry.edu/" TargetMode="External"/><Relationship Id="rId123" Type="http://schemas.openxmlformats.org/officeDocument/2006/relationships/hyperlink" Target="http://www.bic.edu/" TargetMode="External"/><Relationship Id="rId330" Type="http://schemas.openxmlformats.org/officeDocument/2006/relationships/hyperlink" Target="http://www.york.cuny.edu/" TargetMode="External"/><Relationship Id="rId568" Type="http://schemas.openxmlformats.org/officeDocument/2006/relationships/hyperlink" Target="http://www.fmu.edu/764/f-764.htm" TargetMode="External"/><Relationship Id="rId775" Type="http://schemas.openxmlformats.org/officeDocument/2006/relationships/hyperlink" Target="http://www.johnwesley.edu/" TargetMode="External"/><Relationship Id="rId982" Type="http://schemas.openxmlformats.org/officeDocument/2006/relationships/hyperlink" Target="http://www.midway.edu/" TargetMode="External"/><Relationship Id="rId1198" Type="http://schemas.openxmlformats.org/officeDocument/2006/relationships/hyperlink" Target="http://www.otterbein.edu/" TargetMode="External"/><Relationship Id="rId2011" Type="http://schemas.openxmlformats.org/officeDocument/2006/relationships/hyperlink" Target="http://www.wwu.edu/" TargetMode="External"/><Relationship Id="rId428" Type="http://schemas.openxmlformats.org/officeDocument/2006/relationships/hyperlink" Target="http://www.crichton.edu/" TargetMode="External"/><Relationship Id="rId635" Type="http://schemas.openxmlformats.org/officeDocument/2006/relationships/hyperlink" Target="http://www.grace.edu/" TargetMode="External"/><Relationship Id="rId842" Type="http://schemas.openxmlformats.org/officeDocument/2006/relationships/hyperlink" Target="http://www.lemoyne.edu/" TargetMode="External"/><Relationship Id="rId1058" Type="http://schemas.openxmlformats.org/officeDocument/2006/relationships/hyperlink" Target="http://www.national.edu/denver.html" TargetMode="External"/><Relationship Id="rId1265" Type="http://schemas.openxmlformats.org/officeDocument/2006/relationships/hyperlink" Target="http://www.presby.edu/" TargetMode="External"/><Relationship Id="rId1472" Type="http://schemas.openxmlformats.org/officeDocument/2006/relationships/hyperlink" Target="http://www.potsdam.edu/" TargetMode="External"/><Relationship Id="rId702" Type="http://schemas.openxmlformats.org/officeDocument/2006/relationships/hyperlink" Target="http://www.hputx.edu/" TargetMode="External"/><Relationship Id="rId1125" Type="http://schemas.openxmlformats.org/officeDocument/2006/relationships/hyperlink" Target="http://www.northern.edu/" TargetMode="External"/><Relationship Id="rId1332" Type="http://schemas.openxmlformats.org/officeDocument/2006/relationships/hyperlink" Target="http://camden-www.rutgers.edu/" TargetMode="External"/><Relationship Id="rId1777" Type="http://schemas.openxmlformats.org/officeDocument/2006/relationships/hyperlink" Target="http://www.umdnj.edu/" TargetMode="External"/><Relationship Id="rId1984" Type="http://schemas.openxmlformats.org/officeDocument/2006/relationships/hyperlink" Target="http://www.wellesley.edu/" TargetMode="External"/><Relationship Id="rId69" Type="http://schemas.openxmlformats.org/officeDocument/2006/relationships/hyperlink" Target="https://campus.asu.edu/downtown" TargetMode="External"/><Relationship Id="rId1637" Type="http://schemas.openxmlformats.org/officeDocument/2006/relationships/hyperlink" Target="http://www.trinityvt.edu/" TargetMode="External"/><Relationship Id="rId1844" Type="http://schemas.openxmlformats.org/officeDocument/2006/relationships/hyperlink" Target="http://www.rochester.edu/" TargetMode="External"/><Relationship Id="rId1704" Type="http://schemas.openxmlformats.org/officeDocument/2006/relationships/hyperlink" Target="http://www.ucok.edu/" TargetMode="External"/><Relationship Id="rId285" Type="http://schemas.openxmlformats.org/officeDocument/2006/relationships/hyperlink" Target="http://www.centenarycollege.edu/" TargetMode="External"/><Relationship Id="rId1911" Type="http://schemas.openxmlformats.org/officeDocument/2006/relationships/hyperlink" Target="http://www.uwlax.edu/" TargetMode="External"/><Relationship Id="rId492" Type="http://schemas.openxmlformats.org/officeDocument/2006/relationships/hyperlink" Target="http://www.duq.edu/" TargetMode="External"/><Relationship Id="rId797" Type="http://schemas.openxmlformats.org/officeDocument/2006/relationships/hyperlink" Target="http://www.kenteliv.kent.edu/" TargetMode="External"/><Relationship Id="rId145" Type="http://schemas.openxmlformats.org/officeDocument/2006/relationships/hyperlink" Target="http://www.bellin.org/bcn/" TargetMode="External"/><Relationship Id="rId352" Type="http://schemas.openxmlformats.org/officeDocument/2006/relationships/hyperlink" Target="http://www.cogswell.edu/" TargetMode="External"/><Relationship Id="rId1287" Type="http://schemas.openxmlformats.org/officeDocument/2006/relationships/hyperlink" Target="http://www.rasmussen.edu/locations/minnesota/" TargetMode="External"/><Relationship Id="rId2033" Type="http://schemas.openxmlformats.org/officeDocument/2006/relationships/hyperlink" Target="http://www.widener.edu/" TargetMode="External"/><Relationship Id="rId212" Type="http://schemas.openxmlformats.org/officeDocument/2006/relationships/hyperlink" Target="http://www.bryan.edu/" TargetMode="External"/><Relationship Id="rId657" Type="http://schemas.openxmlformats.org/officeDocument/2006/relationships/hyperlink" Target="http://www.hamline.edu/" TargetMode="External"/><Relationship Id="rId864" Type="http://schemas.openxmlformats.org/officeDocument/2006/relationships/hyperlink" Target="http://www.lhup.edu/" TargetMode="External"/><Relationship Id="rId1494" Type="http://schemas.openxmlformats.org/officeDocument/2006/relationships/hyperlink" Target="http://www.sfasu.edu/" TargetMode="External"/><Relationship Id="rId1799" Type="http://schemas.openxmlformats.org/officeDocument/2006/relationships/hyperlink" Target="http://www.unomaha.edu/" TargetMode="External"/><Relationship Id="rId517" Type="http://schemas.openxmlformats.org/officeDocument/2006/relationships/hyperlink" Target="http://www.edison.edu/" TargetMode="External"/><Relationship Id="rId724" Type="http://schemas.openxmlformats.org/officeDocument/2006/relationships/hyperlink" Target="http://www.impacu.edu/" TargetMode="External"/><Relationship Id="rId931" Type="http://schemas.openxmlformats.org/officeDocument/2006/relationships/hyperlink" Target="http://www.mwc.edu/" TargetMode="External"/><Relationship Id="rId1147" Type="http://schemas.openxmlformats.org/officeDocument/2006/relationships/hyperlink" Target="http://www.notredame.edu/" TargetMode="External"/><Relationship Id="rId1354" Type="http://schemas.openxmlformats.org/officeDocument/2006/relationships/hyperlink" Target="http://www.sjsu.edu/" TargetMode="External"/><Relationship Id="rId1561" Type="http://schemas.openxmlformats.org/officeDocument/2006/relationships/hyperlink" Target="http://www.tntemple.edu/" TargetMode="External"/><Relationship Id="rId60" Type="http://schemas.openxmlformats.org/officeDocument/2006/relationships/hyperlink" Target="http://www.antiochsea.edu/" TargetMode="External"/><Relationship Id="rId1007" Type="http://schemas.openxmlformats.org/officeDocument/2006/relationships/hyperlink" Target="http://www.murlin.com/~webfx/mvc/" TargetMode="External"/><Relationship Id="rId1214" Type="http://schemas.openxmlformats.org/officeDocument/2006/relationships/hyperlink" Target="http://www.paine.edu/" TargetMode="External"/><Relationship Id="rId1421" Type="http://schemas.openxmlformats.org/officeDocument/2006/relationships/hyperlink" Target="http://www.spsu.edu/" TargetMode="External"/><Relationship Id="rId1659" Type="http://schemas.openxmlformats.org/officeDocument/2006/relationships/hyperlink" Target="http://www.union-psce.edu/" TargetMode="External"/><Relationship Id="rId1866" Type="http://schemas.openxmlformats.org/officeDocument/2006/relationships/hyperlink" Target="http://www.stthom.edu/" TargetMode="External"/><Relationship Id="rId1519" Type="http://schemas.openxmlformats.org/officeDocument/2006/relationships/hyperlink" Target="http://www.slcc4ministry.edu/" TargetMode="External"/><Relationship Id="rId1726" Type="http://schemas.openxmlformats.org/officeDocument/2006/relationships/hyperlink" Target="http://www.evansville.edu/" TargetMode="External"/><Relationship Id="rId1933" Type="http://schemas.openxmlformats.org/officeDocument/2006/relationships/hyperlink" Target="http://www.valpo.edu/" TargetMode="External"/><Relationship Id="rId18" Type="http://schemas.openxmlformats.org/officeDocument/2006/relationships/hyperlink" Target="http://www.alcorn.edu/" TargetMode="External"/><Relationship Id="rId167" Type="http://schemas.openxmlformats.org/officeDocument/2006/relationships/hyperlink" Target="http://www.bethelks.edu/" TargetMode="External"/><Relationship Id="rId374" Type="http://schemas.openxmlformats.org/officeDocument/2006/relationships/hyperlink" Target="http://www.csbsju.edu/" TargetMode="External"/><Relationship Id="rId581" Type="http://schemas.openxmlformats.org/officeDocument/2006/relationships/hyperlink" Target="http://www.fst.edu/" TargetMode="External"/><Relationship Id="rId2055" Type="http://schemas.openxmlformats.org/officeDocument/2006/relationships/hyperlink" Target="http://www.wlc.edu/" TargetMode="External"/><Relationship Id="rId234" Type="http://schemas.openxmlformats.org/officeDocument/2006/relationships/hyperlink" Target="http://www.calpoly.edu/" TargetMode="External"/><Relationship Id="rId679" Type="http://schemas.openxmlformats.org/officeDocument/2006/relationships/hyperlink" Target="http://www.heidelberg.edu/" TargetMode="External"/><Relationship Id="rId886" Type="http://schemas.openxmlformats.org/officeDocument/2006/relationships/hyperlink" Target="http://www.lcu.edu/" TargetMode="External"/><Relationship Id="rId2" Type="http://schemas.openxmlformats.org/officeDocument/2006/relationships/hyperlink" Target="http://www.adelphi.edu/" TargetMode="External"/><Relationship Id="rId441" Type="http://schemas.openxmlformats.org/officeDocument/2006/relationships/hyperlink" Target="http://www.dacc.cc.il.us/" TargetMode="External"/><Relationship Id="rId539" Type="http://schemas.openxmlformats.org/officeDocument/2006/relationships/hyperlink" Target="http://www.excelcollege.org/" TargetMode="External"/><Relationship Id="rId746" Type="http://schemas.openxmlformats.org/officeDocument/2006/relationships/hyperlink" Target="http://www.i-b-c.edu/" TargetMode="External"/><Relationship Id="rId1071" Type="http://schemas.openxmlformats.org/officeDocument/2006/relationships/hyperlink" Target="http://www.nbc.edu/" TargetMode="External"/><Relationship Id="rId1169" Type="http://schemas.openxmlformats.org/officeDocument/2006/relationships/hyperlink" Target="http://www.ohiou.edu/chillicothe/" TargetMode="External"/><Relationship Id="rId1376" Type="http://schemas.openxmlformats.org/officeDocument/2006/relationships/hyperlink" Target="http://www.shepherd.edu/" TargetMode="External"/><Relationship Id="rId1583" Type="http://schemas.openxmlformats.org/officeDocument/2006/relationships/hyperlink" Target="http://www.aisf.aii.edu/" TargetMode="External"/><Relationship Id="rId301" Type="http://schemas.openxmlformats.org/officeDocument/2006/relationships/hyperlink" Target="http://www.chapman.edu/" TargetMode="External"/><Relationship Id="rId953" Type="http://schemas.openxmlformats.org/officeDocument/2006/relationships/hyperlink" Target="http://www.mmc.edu/" TargetMode="External"/><Relationship Id="rId1029" Type="http://schemas.openxmlformats.org/officeDocument/2006/relationships/hyperlink" Target="http://www.morrisbrown.edu/" TargetMode="External"/><Relationship Id="rId1236" Type="http://schemas.openxmlformats.org/officeDocument/2006/relationships/hyperlink" Target="http://www.collmed.psu.edu/" TargetMode="External"/><Relationship Id="rId1790" Type="http://schemas.openxmlformats.org/officeDocument/2006/relationships/hyperlink" Target="http://www.umkc.edu/" TargetMode="External"/><Relationship Id="rId1888" Type="http://schemas.openxmlformats.org/officeDocument/2006/relationships/hyperlink" Target="http://www.panam.edu/" TargetMode="External"/><Relationship Id="rId82" Type="http://schemas.openxmlformats.org/officeDocument/2006/relationships/hyperlink" Target="http://www.artcenter.edu/" TargetMode="External"/><Relationship Id="rId606" Type="http://schemas.openxmlformats.org/officeDocument/2006/relationships/hyperlink" Target="http://www.georgefox.edu/" TargetMode="External"/><Relationship Id="rId813" Type="http://schemas.openxmlformats.org/officeDocument/2006/relationships/hyperlink" Target="http://www.knoxvillecollege.edu/" TargetMode="External"/><Relationship Id="rId1443" Type="http://schemas.openxmlformats.org/officeDocument/2006/relationships/hyperlink" Target="http://www.southwest.msus.edu/" TargetMode="External"/><Relationship Id="rId1650" Type="http://schemas.openxmlformats.org/officeDocument/2006/relationships/hyperlink" Target="http://www.truman.edu/" TargetMode="External"/><Relationship Id="rId1748" Type="http://schemas.openxmlformats.org/officeDocument/2006/relationships/hyperlink" Target="http://www.ku.edu/" TargetMode="External"/><Relationship Id="rId1303" Type="http://schemas.openxmlformats.org/officeDocument/2006/relationships/hyperlink" Target="http://www.stockton.edu/" TargetMode="External"/><Relationship Id="rId1510" Type="http://schemas.openxmlformats.org/officeDocument/2006/relationships/hyperlink" Target="http://www.sjc.edu/" TargetMode="External"/><Relationship Id="rId1955" Type="http://schemas.openxmlformats.org/officeDocument/2006/relationships/hyperlink" Target="http://www.wagner.edu/" TargetMode="External"/><Relationship Id="rId1608" Type="http://schemas.openxmlformats.org/officeDocument/2006/relationships/hyperlink" Target="http://www.artic.edu/" TargetMode="External"/><Relationship Id="rId1815" Type="http://schemas.openxmlformats.org/officeDocument/2006/relationships/hyperlink" Target="http://www.uncg.edu/" TargetMode="External"/><Relationship Id="rId189" Type="http://schemas.openxmlformats.org/officeDocument/2006/relationships/hyperlink" Target="http://www.bu.edu/" TargetMode="External"/><Relationship Id="rId396" Type="http://schemas.openxmlformats.org/officeDocument/2006/relationships/hyperlink" Target="http://www.ccwu.edu/" TargetMode="External"/><Relationship Id="rId256" Type="http://schemas.openxmlformats.org/officeDocument/2006/relationships/hyperlink" Target="http://www.cup.edu/" TargetMode="External"/><Relationship Id="rId463" Type="http://schemas.openxmlformats.org/officeDocument/2006/relationships/hyperlink" Target="http://www.davenport.edu/e3front.dll?durki=108" TargetMode="External"/><Relationship Id="rId670" Type="http://schemas.openxmlformats.org/officeDocument/2006/relationships/hyperlink" Target="http://www.hgc.edu/" TargetMode="External"/><Relationship Id="rId1093" Type="http://schemas.openxmlformats.org/officeDocument/2006/relationships/hyperlink" Target="http://www.nmsu.edu/" TargetMode="External"/><Relationship Id="rId116" Type="http://schemas.openxmlformats.org/officeDocument/2006/relationships/hyperlink" Target="http://www.baker.edu/visit/muskegon.html" TargetMode="External"/><Relationship Id="rId323" Type="http://schemas.openxmlformats.org/officeDocument/2006/relationships/hyperlink" Target="http://www.jjay.cuny.edu/" TargetMode="External"/><Relationship Id="rId530" Type="http://schemas.openxmlformats.org/officeDocument/2006/relationships/hyperlink" Target="http://www.emmaus.edu/" TargetMode="External"/><Relationship Id="rId768" Type="http://schemas.openxmlformats.org/officeDocument/2006/relationships/hyperlink" Target="http://www.jhu.edu/" TargetMode="External"/><Relationship Id="rId975" Type="http://schemas.openxmlformats.org/officeDocument/2006/relationships/hyperlink" Target="http://www.mtu.edu/" TargetMode="External"/><Relationship Id="rId1160" Type="http://schemas.openxmlformats.org/officeDocument/2006/relationships/hyperlink" Target="http://www.ocpm.edu/" TargetMode="External"/><Relationship Id="rId1398" Type="http://schemas.openxmlformats.org/officeDocument/2006/relationships/hyperlink" Target="http://www.scsu.edu/" TargetMode="External"/><Relationship Id="rId2004" Type="http://schemas.openxmlformats.org/officeDocument/2006/relationships/hyperlink" Target="http://www.wnec.edu/" TargetMode="External"/><Relationship Id="rId628" Type="http://schemas.openxmlformats.org/officeDocument/2006/relationships/hyperlink" Target="http://www.gonzaga.edu/" TargetMode="External"/><Relationship Id="rId835" Type="http://schemas.openxmlformats.org/officeDocument/2006/relationships/hyperlink" Target="http://www.laurus.edu/" TargetMode="External"/><Relationship Id="rId1258" Type="http://schemas.openxmlformats.org/officeDocument/2006/relationships/hyperlink" Target="http://www.poly.edu/west/" TargetMode="External"/><Relationship Id="rId1465" Type="http://schemas.openxmlformats.org/officeDocument/2006/relationships/hyperlink" Target="http://www.brockport.edu/" TargetMode="External"/><Relationship Id="rId1672" Type="http://schemas.openxmlformats.org/officeDocument/2006/relationships/hyperlink" Target="http://www.uah.edu/" TargetMode="External"/><Relationship Id="rId1020" Type="http://schemas.openxmlformats.org/officeDocument/2006/relationships/hyperlink" Target="http://www.moore.edu/" TargetMode="External"/><Relationship Id="rId1118" Type="http://schemas.openxmlformats.org/officeDocument/2006/relationships/hyperlink" Target="http://www.neoucom.edu/" TargetMode="External"/><Relationship Id="rId1325" Type="http://schemas.openxmlformats.org/officeDocument/2006/relationships/hyperlink" Target="http://www.rosemont.edu/" TargetMode="External"/><Relationship Id="rId1532" Type="http://schemas.openxmlformats.org/officeDocument/2006/relationships/hyperlink" Target="http://www.smcvt.edu/" TargetMode="External"/><Relationship Id="rId1977" Type="http://schemas.openxmlformats.org/officeDocument/2006/relationships/hyperlink" Target="http://www.wayne.edu/" TargetMode="External"/><Relationship Id="rId902" Type="http://schemas.openxmlformats.org/officeDocument/2006/relationships/hyperlink" Target="http://www.malone.edu/" TargetMode="External"/><Relationship Id="rId1837" Type="http://schemas.openxmlformats.org/officeDocument/2006/relationships/hyperlink" Target="http://www.pitt.edu/~upjweb/" TargetMode="External"/><Relationship Id="rId31" Type="http://schemas.openxmlformats.org/officeDocument/2006/relationships/hyperlink" Target="http://www.abtu.edu/" TargetMode="External"/><Relationship Id="rId180" Type="http://schemas.openxmlformats.org/officeDocument/2006/relationships/hyperlink" Target="http://www.bluefield.wvnet.edu/" TargetMode="External"/><Relationship Id="rId278" Type="http://schemas.openxmlformats.org/officeDocument/2006/relationships/hyperlink" Target="http://www.carthage.edu/" TargetMode="External"/><Relationship Id="rId1904" Type="http://schemas.openxmlformats.org/officeDocument/2006/relationships/hyperlink" Target="http://www.washington.edu/" TargetMode="External"/><Relationship Id="rId485" Type="http://schemas.openxmlformats.org/officeDocument/2006/relationships/hyperlink" Target="http://www.dowling.edu/" TargetMode="External"/><Relationship Id="rId692" Type="http://schemas.openxmlformats.org/officeDocument/2006/relationships/hyperlink" Target="http://www.hollins.edu/" TargetMode="External"/><Relationship Id="rId138" Type="http://schemas.openxmlformats.org/officeDocument/2006/relationships/hyperlink" Target="http://www.bauder.edu/" TargetMode="External"/><Relationship Id="rId345" Type="http://schemas.openxmlformats.org/officeDocument/2006/relationships/hyperlink" Target="http://www.clevelandchiropractic.edu/" TargetMode="External"/><Relationship Id="rId552" Type="http://schemas.openxmlformats.org/officeDocument/2006/relationships/hyperlink" Target="http://www.finchcms.edu/" TargetMode="External"/><Relationship Id="rId997" Type="http://schemas.openxmlformats.org/officeDocument/2006/relationships/hyperlink" Target="http://www.aspp.edu/mn.html" TargetMode="External"/><Relationship Id="rId1182" Type="http://schemas.openxmlformats.org/officeDocument/2006/relationships/hyperlink" Target="http://www.osuit.edu/" TargetMode="External"/><Relationship Id="rId2026" Type="http://schemas.openxmlformats.org/officeDocument/2006/relationships/hyperlink" Target="http://www.wheatonma.edu/" TargetMode="External"/><Relationship Id="rId205" Type="http://schemas.openxmlformats.org/officeDocument/2006/relationships/hyperlink" Target="http://www.byui.edu/" TargetMode="External"/><Relationship Id="rId412" Type="http://schemas.openxmlformats.org/officeDocument/2006/relationships/hyperlink" Target="http://www.concordia.edu/" TargetMode="External"/><Relationship Id="rId857" Type="http://schemas.openxmlformats.org/officeDocument/2006/relationships/hyperlink" Target="http://www.lincoln.edu/" TargetMode="External"/><Relationship Id="rId1042" Type="http://schemas.openxmlformats.org/officeDocument/2006/relationships/hyperlink" Target="http://www.mssm.edu/" TargetMode="External"/><Relationship Id="rId1487" Type="http://schemas.openxmlformats.org/officeDocument/2006/relationships/hyperlink" Target="http://www.westga.edu/" TargetMode="External"/><Relationship Id="rId1694" Type="http://schemas.openxmlformats.org/officeDocument/2006/relationships/hyperlink" Target="http://www.ucop.edu/" TargetMode="External"/><Relationship Id="rId717" Type="http://schemas.openxmlformats.org/officeDocument/2006/relationships/hyperlink" Target="http://www.iit.edu/" TargetMode="External"/><Relationship Id="rId924" Type="http://schemas.openxmlformats.org/officeDocument/2006/relationships/hyperlink" Target="http://www.marygrove.edu/" TargetMode="External"/><Relationship Id="rId1347" Type="http://schemas.openxmlformats.org/officeDocument/2006/relationships/hyperlink" Target="http://www.sduis.edu/" TargetMode="External"/><Relationship Id="rId1554" Type="http://schemas.openxmlformats.org/officeDocument/2006/relationships/hyperlink" Target="http://www.tayloru.edu/" TargetMode="External"/><Relationship Id="rId1761" Type="http://schemas.openxmlformats.org/officeDocument/2006/relationships/hyperlink" Target="http://www.umtweb.edu/" TargetMode="External"/><Relationship Id="rId1999" Type="http://schemas.openxmlformats.org/officeDocument/2006/relationships/hyperlink" Target="http://www.wiu.edu/" TargetMode="External"/><Relationship Id="rId53" Type="http://schemas.openxmlformats.org/officeDocument/2006/relationships/hyperlink" Target="http://www.andrews.edu/" TargetMode="External"/><Relationship Id="rId1207" Type="http://schemas.openxmlformats.org/officeDocument/2006/relationships/hyperlink" Target="http://www.pgsp.edu/" TargetMode="External"/><Relationship Id="rId1414" Type="http://schemas.openxmlformats.org/officeDocument/2006/relationships/hyperlink" Target="http://www.scsu.ctstateu.edu/" TargetMode="External"/><Relationship Id="rId1621" Type="http://schemas.openxmlformats.org/officeDocument/2006/relationships/hyperlink" Target="http://www.thunderbird.edu/" TargetMode="External"/><Relationship Id="rId1859" Type="http://schemas.openxmlformats.org/officeDocument/2006/relationships/hyperlink" Target="http://www.usd.edu/" TargetMode="External"/><Relationship Id="rId1719" Type="http://schemas.openxmlformats.org/officeDocument/2006/relationships/hyperlink" Target="http://www.uchc.edu/" TargetMode="External"/><Relationship Id="rId1926" Type="http://schemas.openxmlformats.org/officeDocument/2006/relationships/hyperlink" Target="http://www.ursuline.edu/" TargetMode="External"/><Relationship Id="rId367" Type="http://schemas.openxmlformats.org/officeDocument/2006/relationships/hyperlink" Target="http://www.collegeofidaho.edu/" TargetMode="External"/><Relationship Id="rId574" Type="http://schemas.openxmlformats.org/officeDocument/2006/relationships/hyperlink" Target="http://www.fhda.edu/" TargetMode="External"/><Relationship Id="rId2048" Type="http://schemas.openxmlformats.org/officeDocument/2006/relationships/hyperlink" Target="http://www.wilmcoll.edu/" TargetMode="External"/><Relationship Id="rId227" Type="http://schemas.openxmlformats.org/officeDocument/2006/relationships/hyperlink" Target="http://www.ccpm.edu/" TargetMode="External"/><Relationship Id="rId781" Type="http://schemas.openxmlformats.org/officeDocument/2006/relationships/hyperlink" Target="http://www.kzoo.edu/" TargetMode="External"/><Relationship Id="rId879" Type="http://schemas.openxmlformats.org/officeDocument/2006/relationships/hyperlink" Target="http://www.lsus.edu/" TargetMode="External"/><Relationship Id="rId434" Type="http://schemas.openxmlformats.org/officeDocument/2006/relationships/hyperlink" Target="http://www.daemen.edu/" TargetMode="External"/><Relationship Id="rId641" Type="http://schemas.openxmlformats.org/officeDocument/2006/relationships/hyperlink" Target="http://www.gvsu.edu/" TargetMode="External"/><Relationship Id="rId739" Type="http://schemas.openxmlformats.org/officeDocument/2006/relationships/hyperlink" Target="http://www.icsw.com/" TargetMode="External"/><Relationship Id="rId1064" Type="http://schemas.openxmlformats.org/officeDocument/2006/relationships/hyperlink" Target="http://www.ndu.edu/" TargetMode="External"/><Relationship Id="rId1271" Type="http://schemas.openxmlformats.org/officeDocument/2006/relationships/hyperlink" Target="http://members.aa.net/~bluvase/pscchome.html" TargetMode="External"/><Relationship Id="rId1369" Type="http://schemas.openxmlformats.org/officeDocument/2006/relationships/hyperlink" Target="http://www.shu.edu/" TargetMode="External"/><Relationship Id="rId1576" Type="http://schemas.openxmlformats.org/officeDocument/2006/relationships/hyperlink" Target="http://www.ttu.edu/" TargetMode="External"/><Relationship Id="rId501" Type="http://schemas.openxmlformats.org/officeDocument/2006/relationships/hyperlink" Target="http://www.eiu.edu/" TargetMode="External"/><Relationship Id="rId946" Type="http://schemas.openxmlformats.org/officeDocument/2006/relationships/hyperlink" Target="http://www.medaille.edu/" TargetMode="External"/><Relationship Id="rId1131" Type="http://schemas.openxmlformats.org/officeDocument/2006/relationships/hyperlink" Target="http://www.northpark.edu/" TargetMode="External"/><Relationship Id="rId1229" Type="http://schemas.openxmlformats.org/officeDocument/2006/relationships/hyperlink" Target="http://www.aa.psu.edu/" TargetMode="External"/><Relationship Id="rId1783" Type="http://schemas.openxmlformats.org/officeDocument/2006/relationships/hyperlink" Target="http://www.crk.umn.edu/" TargetMode="External"/><Relationship Id="rId1990" Type="http://schemas.openxmlformats.org/officeDocument/2006/relationships/hyperlink" Target="http://www.wesleycollege.com/" TargetMode="External"/><Relationship Id="rId75" Type="http://schemas.openxmlformats.org/officeDocument/2006/relationships/hyperlink" Target="http://www.asumh.edu/" TargetMode="External"/><Relationship Id="rId806" Type="http://schemas.openxmlformats.org/officeDocument/2006/relationships/hyperlink" Target="http://www.kettering.edu/" TargetMode="External"/><Relationship Id="rId1436" Type="http://schemas.openxmlformats.org/officeDocument/2006/relationships/hyperlink" Target="http://www.sckans.edu/" TargetMode="External"/><Relationship Id="rId1643" Type="http://schemas.openxmlformats.org/officeDocument/2006/relationships/hyperlink" Target="http://www.triton.cc.il.us/" TargetMode="External"/><Relationship Id="rId1850" Type="http://schemas.openxmlformats.org/officeDocument/2006/relationships/hyperlink" Target="http://www.usouthal.edu/" TargetMode="External"/><Relationship Id="rId1503" Type="http://schemas.openxmlformats.org/officeDocument/2006/relationships/hyperlink" Target="http://www.sgu.edu/" TargetMode="External"/><Relationship Id="rId1710" Type="http://schemas.openxmlformats.org/officeDocument/2006/relationships/hyperlink" Target="http://www.colorado.edu/" TargetMode="External"/><Relationship Id="rId1948" Type="http://schemas.openxmlformats.org/officeDocument/2006/relationships/hyperlink" Target="http://www.vt.edu/" TargetMode="External"/><Relationship Id="rId291" Type="http://schemas.openxmlformats.org/officeDocument/2006/relationships/hyperlink" Target="http://www.central.edu/" TargetMode="External"/><Relationship Id="rId1808" Type="http://schemas.openxmlformats.org/officeDocument/2006/relationships/hyperlink" Target="http://www.unm.edu/" TargetMode="External"/><Relationship Id="rId151" Type="http://schemas.openxmlformats.org/officeDocument/2006/relationships/hyperlink" Target="http://www.benedictine.edu/" TargetMode="External"/><Relationship Id="rId389" Type="http://schemas.openxmlformats.org/officeDocument/2006/relationships/hyperlink" Target="http://www.colostate.edu/" TargetMode="External"/><Relationship Id="rId596" Type="http://schemas.openxmlformats.org/officeDocument/2006/relationships/hyperlink" Target="http://www.fresno.edu/" TargetMode="External"/><Relationship Id="rId249" Type="http://schemas.openxmlformats.org/officeDocument/2006/relationships/hyperlink" Target="http://www.monterey.edu/" TargetMode="External"/><Relationship Id="rId456" Type="http://schemas.openxmlformats.org/officeDocument/2006/relationships/hyperlink" Target="http://www.dtc.edu/" TargetMode="External"/><Relationship Id="rId663" Type="http://schemas.openxmlformats.org/officeDocument/2006/relationships/hyperlink" Target="http://www.hanover.edu/" TargetMode="External"/><Relationship Id="rId870" Type="http://schemas.openxmlformats.org/officeDocument/2006/relationships/hyperlink" Target="http://www.lwc.edu/" TargetMode="External"/><Relationship Id="rId1086" Type="http://schemas.openxmlformats.org/officeDocument/2006/relationships/hyperlink" Target="http://www.nesl.edu/" TargetMode="External"/><Relationship Id="rId1293" Type="http://schemas.openxmlformats.org/officeDocument/2006/relationships/hyperlink" Target="http://www.regent.edu/" TargetMode="External"/><Relationship Id="rId109" Type="http://schemas.openxmlformats.org/officeDocument/2006/relationships/hyperlink" Target="http://www.avila.edu/" TargetMode="External"/><Relationship Id="rId316" Type="http://schemas.openxmlformats.org/officeDocument/2006/relationships/hyperlink" Target="http://www.baruch.cuny.edu/" TargetMode="External"/><Relationship Id="rId523" Type="http://schemas.openxmlformats.org/officeDocument/2006/relationships/hyperlink" Target="http://www.elms.edu/" TargetMode="External"/><Relationship Id="rId968" Type="http://schemas.openxmlformats.org/officeDocument/2006/relationships/hyperlink" Target="http://www.mghihp.edu/" TargetMode="External"/><Relationship Id="rId1153" Type="http://schemas.openxmlformats.org/officeDocument/2006/relationships/hyperlink" Target="http://www.oakland.edu/" TargetMode="External"/><Relationship Id="rId1598" Type="http://schemas.openxmlformats.org/officeDocument/2006/relationships/hyperlink" Target="http://www.ilic.artinstitutes.edu/" TargetMode="External"/><Relationship Id="rId97" Type="http://schemas.openxmlformats.org/officeDocument/2006/relationships/hyperlink" Target="http://www.aum.edu/" TargetMode="External"/><Relationship Id="rId730" Type="http://schemas.openxmlformats.org/officeDocument/2006/relationships/hyperlink" Target="http://www.iue.indiana.edu/" TargetMode="External"/><Relationship Id="rId828" Type="http://schemas.openxmlformats.org/officeDocument/2006/relationships/hyperlink" Target="http://www.lander.edu/" TargetMode="External"/><Relationship Id="rId1013" Type="http://schemas.openxmlformats.org/officeDocument/2006/relationships/hyperlink" Target="http://www.msun.edu/" TargetMode="External"/><Relationship Id="rId1360" Type="http://schemas.openxmlformats.org/officeDocument/2006/relationships/hyperlink" Target="http://www.schiller.edu/" TargetMode="External"/><Relationship Id="rId1458" Type="http://schemas.openxmlformats.org/officeDocument/2006/relationships/hyperlink" Target="http://www.sacn.edu/" TargetMode="External"/><Relationship Id="rId1665" Type="http://schemas.openxmlformats.org/officeDocument/2006/relationships/hyperlink" Target="http://www.usma.edu/" TargetMode="External"/><Relationship Id="rId1872" Type="http://schemas.openxmlformats.org/officeDocument/2006/relationships/hyperlink" Target="http://www.utmem.edu/" TargetMode="External"/><Relationship Id="rId1220" Type="http://schemas.openxmlformats.org/officeDocument/2006/relationships/hyperlink" Target="http://www.parsons.edu/" TargetMode="External"/><Relationship Id="rId1318" Type="http://schemas.openxmlformats.org/officeDocument/2006/relationships/hyperlink" Target="http://www.rocky.edu/" TargetMode="External"/><Relationship Id="rId1525" Type="http://schemas.openxmlformats.org/officeDocument/2006/relationships/hyperlink" Target="http://www.smwc.edu/" TargetMode="External"/><Relationship Id="rId1732" Type="http://schemas.openxmlformats.org/officeDocument/2006/relationships/hyperlink" Target="http://www.uhh.hawaii.edu/" TargetMode="External"/><Relationship Id="rId24" Type="http://schemas.openxmlformats.org/officeDocument/2006/relationships/hyperlink" Target="http://www.scicu.org/allen/" TargetMode="External"/><Relationship Id="rId173" Type="http://schemas.openxmlformats.org/officeDocument/2006/relationships/hyperlink" Target="http://www.blackburn.edu/" TargetMode="External"/><Relationship Id="rId380" Type="http://schemas.openxmlformats.org/officeDocument/2006/relationships/hyperlink" Target="http://www.css.edu/" TargetMode="External"/><Relationship Id="rId2061" Type="http://schemas.openxmlformats.org/officeDocument/2006/relationships/hyperlink" Target="http://www.worc.mass.edu/" TargetMode="External"/><Relationship Id="rId240" Type="http://schemas.openxmlformats.org/officeDocument/2006/relationships/hyperlink" Target="http://www.csubak.edu/" TargetMode="External"/><Relationship Id="rId478" Type="http://schemas.openxmlformats.org/officeDocument/2006/relationships/hyperlink" Target="http://www.doane.edu/" TargetMode="External"/><Relationship Id="rId685" Type="http://schemas.openxmlformats.org/officeDocument/2006/relationships/hyperlink" Target="http://www.hilbert.edu/" TargetMode="External"/><Relationship Id="rId892" Type="http://schemas.openxmlformats.org/officeDocument/2006/relationships/hyperlink" Target="http://www.lynn.edu/" TargetMode="External"/><Relationship Id="rId100" Type="http://schemas.openxmlformats.org/officeDocument/2006/relationships/hyperlink" Target="http://www.augustana.edu/" TargetMode="External"/><Relationship Id="rId338" Type="http://schemas.openxmlformats.org/officeDocument/2006/relationships/hyperlink" Target="http://www.clarksoncollege.edu/" TargetMode="External"/><Relationship Id="rId545" Type="http://schemas.openxmlformats.org/officeDocument/2006/relationships/hyperlink" Target="http://www.fitnyc.suny.edu/" TargetMode="External"/><Relationship Id="rId752" Type="http://schemas.openxmlformats.org/officeDocument/2006/relationships/hyperlink" Target="http://www.itttech.edu/campus/" TargetMode="External"/><Relationship Id="rId1175" Type="http://schemas.openxmlformats.org/officeDocument/2006/relationships/hyperlink" Target="http://www.owu.edu/" TargetMode="External"/><Relationship Id="rId1382" Type="http://schemas.openxmlformats.org/officeDocument/2006/relationships/hyperlink" Target="http://www.siena.edu/" TargetMode="External"/><Relationship Id="rId2019" Type="http://schemas.openxmlformats.org/officeDocument/2006/relationships/hyperlink" Target="http://www.wtamu.edu/" TargetMode="External"/><Relationship Id="rId405" Type="http://schemas.openxmlformats.org/officeDocument/2006/relationships/hyperlink" Target="http://www.concord.edu/" TargetMode="External"/><Relationship Id="rId612" Type="http://schemas.openxmlformats.org/officeDocument/2006/relationships/hyperlink" Target="http://www.gbcn.edu/" TargetMode="External"/><Relationship Id="rId1035" Type="http://schemas.openxmlformats.org/officeDocument/2006/relationships/hyperlink" Target="http://www.mtholyoke.edu/" TargetMode="External"/><Relationship Id="rId1242" Type="http://schemas.openxmlformats.org/officeDocument/2006/relationships/hyperlink" Target="http://www.pcom.edu/" TargetMode="External"/><Relationship Id="rId1687" Type="http://schemas.openxmlformats.org/officeDocument/2006/relationships/hyperlink" Target="http://www.bridgeport.edu/" TargetMode="External"/><Relationship Id="rId1894" Type="http://schemas.openxmlformats.org/officeDocument/2006/relationships/hyperlink" Target="http://www.pacific.edu/" TargetMode="External"/><Relationship Id="rId917" Type="http://schemas.openxmlformats.org/officeDocument/2006/relationships/hyperlink" Target="http://www.marshall.edu/" TargetMode="External"/><Relationship Id="rId1102" Type="http://schemas.openxmlformats.org/officeDocument/2006/relationships/hyperlink" Target="http://www.nysid.edu/" TargetMode="External"/><Relationship Id="rId1547" Type="http://schemas.openxmlformats.org/officeDocument/2006/relationships/hyperlink" Target="http://www.susqu.edu/" TargetMode="External"/><Relationship Id="rId1754" Type="http://schemas.openxmlformats.org/officeDocument/2006/relationships/hyperlink" Target="http://www.uma.maine.edu/" TargetMode="External"/><Relationship Id="rId1961" Type="http://schemas.openxmlformats.org/officeDocument/2006/relationships/hyperlink" Target="http://www.warnerpacific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I2073"/>
  <sheetViews>
    <sheetView tabSelected="1" workbookViewId="0">
      <selection activeCell="C52" sqref="C52"/>
    </sheetView>
  </sheetViews>
  <sheetFormatPr defaultColWidth="14.44140625" defaultRowHeight="15.75" customHeight="1"/>
  <cols>
    <col min="1" max="1" width="14.5546875" customWidth="1"/>
    <col min="3" max="3" width="30.33203125" customWidth="1"/>
    <col min="4" max="4" width="26.6640625" customWidth="1"/>
    <col min="5" max="5" width="5.88671875" customWidth="1"/>
    <col min="7" max="7" width="8.33203125" customWidth="1"/>
    <col min="8" max="8" width="37.109375" customWidth="1"/>
  </cols>
  <sheetData>
    <row r="1" spans="1:9">
      <c r="A1" s="1"/>
      <c r="G1" s="2"/>
    </row>
    <row r="2" spans="1:9">
      <c r="A2" s="1" t="s">
        <v>0</v>
      </c>
      <c r="B2" s="3" t="str">
        <f ca="1">IFERROR(__xludf.DUMMYFUNCTION("SPLIT(A2,"","")"),"US")</f>
        <v>US</v>
      </c>
      <c r="C2" s="3" t="str">
        <f ca="1">IFERROR(__xludf.DUMMYFUNCTION("""COMPUTED_VALUE"""),"Adams State College")</f>
        <v>Adams State College</v>
      </c>
      <c r="D2" s="4" t="str">
        <f ca="1">IFERROR(__xludf.DUMMYFUNCTION("""COMPUTED_VALUE"""),"http://www.adams.edu/")</f>
        <v>http://www.adams.edu/</v>
      </c>
      <c r="G2" s="2" t="str">
        <f t="shared" ref="G2:G2073" ca="1" si="0">SUBSTITUTE(C2,"\'","")</f>
        <v>Adams State College</v>
      </c>
      <c r="H2" s="5" t="str">
        <f t="shared" ref="H2:H2073" ca="1" si="1">SUBSTITUTE(G2,"""","")</f>
        <v>Adams State College</v>
      </c>
      <c r="I2" s="3" t="str">
        <f t="shared" ref="I2:I2073" ca="1" si="2">CONCATENATE("'",H2,"',")</f>
        <v>'Adams State College',</v>
      </c>
    </row>
    <row r="3" spans="1:9">
      <c r="A3" s="1" t="s">
        <v>1</v>
      </c>
      <c r="B3" s="3" t="str">
        <f ca="1">IFERROR(__xludf.DUMMYFUNCTION("SPLIT(A3,"","")"),"US")</f>
        <v>US</v>
      </c>
      <c r="C3" s="3" t="str">
        <f ca="1">IFERROR(__xludf.DUMMYFUNCTION("""COMPUTED_VALUE"""),"Adelphi University")</f>
        <v>Adelphi University</v>
      </c>
      <c r="D3" s="4" t="str">
        <f ca="1">IFERROR(__xludf.DUMMYFUNCTION("""COMPUTED_VALUE"""),"http://www.adelphi.edu/")</f>
        <v>http://www.adelphi.edu/</v>
      </c>
      <c r="G3" s="2" t="str">
        <f t="shared" ca="1" si="0"/>
        <v>Adelphi University</v>
      </c>
      <c r="H3" s="5" t="str">
        <f t="shared" ca="1" si="1"/>
        <v>Adelphi University</v>
      </c>
      <c r="I3" s="3" t="str">
        <f t="shared" ca="1" si="2"/>
        <v>'Adelphi University',</v>
      </c>
    </row>
    <row r="4" spans="1:9">
      <c r="A4" s="1" t="s">
        <v>2</v>
      </c>
      <c r="B4" s="3" t="str">
        <f ca="1">IFERROR(__xludf.DUMMYFUNCTION("SPLIT(A4,"","")"),"US")</f>
        <v>US</v>
      </c>
      <c r="C4" s="3" t="str">
        <f ca="1">IFERROR(__xludf.DUMMYFUNCTION("""COMPUTED_VALUE"""),"Adler School of Professional Psychology")</f>
        <v>Adler School of Professional Psychology</v>
      </c>
      <c r="D4" s="4" t="str">
        <f ca="1">IFERROR(__xludf.DUMMYFUNCTION("""COMPUTED_VALUE"""),"http://www.adler.edu/")</f>
        <v>http://www.adler.edu/</v>
      </c>
      <c r="G4" s="2" t="str">
        <f t="shared" ca="1" si="0"/>
        <v>Adler School of Professional Psychology</v>
      </c>
      <c r="H4" s="5" t="str">
        <f t="shared" ca="1" si="1"/>
        <v>Adler School of Professional Psychology</v>
      </c>
      <c r="I4" s="3" t="str">
        <f t="shared" ca="1" si="2"/>
        <v>'Adler School of Professional Psychology',</v>
      </c>
    </row>
    <row r="5" spans="1:9">
      <c r="A5" s="1" t="s">
        <v>3</v>
      </c>
      <c r="B5" s="3" t="str">
        <f ca="1">IFERROR(__xludf.DUMMYFUNCTION("SPLIT(A5,"","")"),"US")</f>
        <v>US</v>
      </c>
      <c r="C5" s="3" t="str">
        <f ca="1">IFERROR(__xludf.DUMMYFUNCTION("""COMPUTED_VALUE"""),"Adrian College")</f>
        <v>Adrian College</v>
      </c>
      <c r="D5" s="4" t="str">
        <f ca="1">IFERROR(__xludf.DUMMYFUNCTION("""COMPUTED_VALUE"""),"http://www.adrian.edu/")</f>
        <v>http://www.adrian.edu/</v>
      </c>
      <c r="G5" s="2" t="str">
        <f t="shared" ca="1" si="0"/>
        <v>Adrian College</v>
      </c>
      <c r="H5" s="5" t="str">
        <f t="shared" ca="1" si="1"/>
        <v>Adrian College</v>
      </c>
      <c r="I5" s="3" t="str">
        <f t="shared" ca="1" si="2"/>
        <v>'Adrian College',</v>
      </c>
    </row>
    <row r="6" spans="1:9">
      <c r="A6" s="1" t="s">
        <v>4</v>
      </c>
      <c r="B6" s="3" t="str">
        <f ca="1">IFERROR(__xludf.DUMMYFUNCTION("SPLIT(A6,"","")"),"US")</f>
        <v>US</v>
      </c>
      <c r="C6" s="3" t="str">
        <f ca="1">IFERROR(__xludf.DUMMYFUNCTION("""COMPUTED_VALUE"""),"Agnes Scott College")</f>
        <v>Agnes Scott College</v>
      </c>
      <c r="D6" s="4" t="str">
        <f ca="1">IFERROR(__xludf.DUMMYFUNCTION("""COMPUTED_VALUE"""),"http://www.scottlan.edu/")</f>
        <v>http://www.scottlan.edu/</v>
      </c>
      <c r="G6" s="2" t="str">
        <f t="shared" ca="1" si="0"/>
        <v>Agnes Scott College</v>
      </c>
      <c r="H6" s="5" t="str">
        <f t="shared" ca="1" si="1"/>
        <v>Agnes Scott College</v>
      </c>
      <c r="I6" s="3" t="str">
        <f t="shared" ca="1" si="2"/>
        <v>'Agnes Scott College',</v>
      </c>
    </row>
    <row r="7" spans="1:9">
      <c r="A7" s="1" t="s">
        <v>5</v>
      </c>
      <c r="B7" s="3" t="str">
        <f ca="1">IFERROR(__xludf.DUMMYFUNCTION("SPLIT(A7,"","")"),"US")</f>
        <v>US</v>
      </c>
      <c r="C7" s="3" t="str">
        <f ca="1">IFERROR(__xludf.DUMMYFUNCTION("""COMPUTED_VALUE"""),"Air Force Institute of Technology")</f>
        <v>Air Force Institute of Technology</v>
      </c>
      <c r="D7" s="4" t="str">
        <f ca="1">IFERROR(__xludf.DUMMYFUNCTION("""COMPUTED_VALUE"""),"http://www.afit.af.mil/")</f>
        <v>http://www.afit.af.mil/</v>
      </c>
      <c r="G7" s="2" t="str">
        <f t="shared" ca="1" si="0"/>
        <v>Air Force Institute of Technology</v>
      </c>
      <c r="H7" s="5" t="str">
        <f t="shared" ca="1" si="1"/>
        <v>Air Force Institute of Technology</v>
      </c>
      <c r="I7" s="3" t="str">
        <f t="shared" ca="1" si="2"/>
        <v>'Air Force Institute of Technology',</v>
      </c>
    </row>
    <row r="8" spans="1:9">
      <c r="A8" s="1" t="s">
        <v>6</v>
      </c>
      <c r="B8" s="3" t="str">
        <f ca="1">IFERROR(__xludf.DUMMYFUNCTION("SPLIT(A8,"","")"),"US")</f>
        <v>US</v>
      </c>
      <c r="C8" s="3" t="str">
        <f ca="1">IFERROR(__xludf.DUMMYFUNCTION("""COMPUTED_VALUE"""),"Alabama Agricultural and Mechanical University")</f>
        <v>Alabama Agricultural and Mechanical University</v>
      </c>
      <c r="D8" s="4" t="str">
        <f ca="1">IFERROR(__xludf.DUMMYFUNCTION("""COMPUTED_VALUE"""),"http://www.aamu.edu/")</f>
        <v>http://www.aamu.edu/</v>
      </c>
      <c r="G8" s="2" t="str">
        <f t="shared" ca="1" si="0"/>
        <v>Alabama Agricultural and Mechanical University</v>
      </c>
      <c r="H8" s="5" t="str">
        <f t="shared" ca="1" si="1"/>
        <v>Alabama Agricultural and Mechanical University</v>
      </c>
      <c r="I8" s="3" t="str">
        <f t="shared" ca="1" si="2"/>
        <v>'Alabama Agricultural and Mechanical University',</v>
      </c>
    </row>
    <row r="9" spans="1:9">
      <c r="A9" s="1" t="s">
        <v>7</v>
      </c>
      <c r="B9" s="3" t="str">
        <f ca="1">IFERROR(__xludf.DUMMYFUNCTION("SPLIT(A9,"","")"),"US")</f>
        <v>US</v>
      </c>
      <c r="C9" s="3" t="str">
        <f ca="1">IFERROR(__xludf.DUMMYFUNCTION("""COMPUTED_VALUE"""),"Alabama State University")</f>
        <v>Alabama State University</v>
      </c>
      <c r="D9" s="4" t="str">
        <f ca="1">IFERROR(__xludf.DUMMYFUNCTION("""COMPUTED_VALUE"""),"http://www.alasu.edu/")</f>
        <v>http://www.alasu.edu/</v>
      </c>
      <c r="G9" s="2" t="str">
        <f t="shared" ca="1" si="0"/>
        <v>Alabama State University</v>
      </c>
      <c r="H9" s="5" t="str">
        <f t="shared" ca="1" si="1"/>
        <v>Alabama State University</v>
      </c>
      <c r="I9" s="3" t="str">
        <f t="shared" ca="1" si="2"/>
        <v>'Alabama State University',</v>
      </c>
    </row>
    <row r="10" spans="1:9">
      <c r="A10" s="1" t="s">
        <v>8</v>
      </c>
      <c r="B10" s="3" t="str">
        <f ca="1">IFERROR(__xludf.DUMMYFUNCTION("SPLIT(A10,"","")"),"US")</f>
        <v>US</v>
      </c>
      <c r="C10" s="3" t="str">
        <f ca="1">IFERROR(__xludf.DUMMYFUNCTION("""COMPUTED_VALUE"""),"Alaska Bible College")</f>
        <v>Alaska Bible College</v>
      </c>
      <c r="D10" s="4" t="str">
        <f ca="1">IFERROR(__xludf.DUMMYFUNCTION("""COMPUTED_VALUE"""),"http://www.akbible.edu/")</f>
        <v>http://www.akbible.edu/</v>
      </c>
      <c r="G10" s="2" t="str">
        <f t="shared" ca="1" si="0"/>
        <v>Alaska Bible College</v>
      </c>
      <c r="H10" s="5" t="str">
        <f t="shared" ca="1" si="1"/>
        <v>Alaska Bible College</v>
      </c>
      <c r="I10" s="3" t="str">
        <f t="shared" ca="1" si="2"/>
        <v>'Alaska Bible College',</v>
      </c>
    </row>
    <row r="11" spans="1:9">
      <c r="A11" s="1" t="s">
        <v>9</v>
      </c>
      <c r="B11" s="3" t="str">
        <f ca="1">IFERROR(__xludf.DUMMYFUNCTION("SPLIT(A11,"","")"),"US")</f>
        <v>US</v>
      </c>
      <c r="C11" s="3" t="str">
        <f ca="1">IFERROR(__xludf.DUMMYFUNCTION("""COMPUTED_VALUE"""),"Alaska Pacific University")</f>
        <v>Alaska Pacific University</v>
      </c>
      <c r="D11" s="4" t="str">
        <f ca="1">IFERROR(__xludf.DUMMYFUNCTION("""COMPUTED_VALUE"""),"http://www.alaskapacific.edu/")</f>
        <v>http://www.alaskapacific.edu/</v>
      </c>
      <c r="G11" s="2" t="str">
        <f t="shared" ca="1" si="0"/>
        <v>Alaska Pacific University</v>
      </c>
      <c r="H11" s="5" t="str">
        <f t="shared" ca="1" si="1"/>
        <v>Alaska Pacific University</v>
      </c>
      <c r="I11" s="3" t="str">
        <f t="shared" ca="1" si="2"/>
        <v>'Alaska Pacific University',</v>
      </c>
    </row>
    <row r="12" spans="1:9">
      <c r="A12" s="1" t="s">
        <v>10</v>
      </c>
      <c r="B12" s="3" t="str">
        <f ca="1">IFERROR(__xludf.DUMMYFUNCTION("SPLIT(A12,"","")"),"US")</f>
        <v>US</v>
      </c>
      <c r="C12" s="3" t="str">
        <f ca="1">IFERROR(__xludf.DUMMYFUNCTION("""COMPUTED_VALUE"""),"Albany College of Pharmacy")</f>
        <v>Albany College of Pharmacy</v>
      </c>
      <c r="D12" s="4" t="str">
        <f ca="1">IFERROR(__xludf.DUMMYFUNCTION("""COMPUTED_VALUE"""),"http://www.acp.edu/")</f>
        <v>http://www.acp.edu/</v>
      </c>
      <c r="G12" s="2" t="str">
        <f t="shared" ca="1" si="0"/>
        <v>Albany College of Pharmacy</v>
      </c>
      <c r="H12" s="5" t="str">
        <f t="shared" ca="1" si="1"/>
        <v>Albany College of Pharmacy</v>
      </c>
      <c r="I12" s="3" t="str">
        <f t="shared" ca="1" si="2"/>
        <v>'Albany College of Pharmacy',</v>
      </c>
    </row>
    <row r="13" spans="1:9">
      <c r="A13" s="1" t="s">
        <v>11</v>
      </c>
      <c r="B13" s="3" t="str">
        <f ca="1">IFERROR(__xludf.DUMMYFUNCTION("SPLIT(A13,"","")"),"US")</f>
        <v>US</v>
      </c>
      <c r="C13" s="3" t="str">
        <f ca="1">IFERROR(__xludf.DUMMYFUNCTION("""COMPUTED_VALUE"""),"Albany Law School")</f>
        <v>Albany Law School</v>
      </c>
      <c r="D13" s="4" t="str">
        <f ca="1">IFERROR(__xludf.DUMMYFUNCTION("""COMPUTED_VALUE"""),"http://www.albanylaw.edu/")</f>
        <v>http://www.albanylaw.edu/</v>
      </c>
      <c r="G13" s="2" t="str">
        <f t="shared" ca="1" si="0"/>
        <v>Albany Law School</v>
      </c>
      <c r="H13" s="5" t="str">
        <f t="shared" ca="1" si="1"/>
        <v>Albany Law School</v>
      </c>
      <c r="I13" s="3" t="str">
        <f t="shared" ca="1" si="2"/>
        <v>'Albany Law School',</v>
      </c>
    </row>
    <row r="14" spans="1:9">
      <c r="A14" s="1" t="s">
        <v>12</v>
      </c>
      <c r="B14" s="3" t="str">
        <f ca="1">IFERROR(__xludf.DUMMYFUNCTION("SPLIT(A14,"","")"),"US")</f>
        <v>US</v>
      </c>
      <c r="C14" s="3" t="str">
        <f ca="1">IFERROR(__xludf.DUMMYFUNCTION("""COMPUTED_VALUE"""),"Albany Medical Center")</f>
        <v>Albany Medical Center</v>
      </c>
      <c r="D14" s="4" t="str">
        <f ca="1">IFERROR(__xludf.DUMMYFUNCTION("""COMPUTED_VALUE"""),"http://www.amc.edu/")</f>
        <v>http://www.amc.edu/</v>
      </c>
      <c r="G14" s="2" t="str">
        <f t="shared" ca="1" si="0"/>
        <v>Albany Medical Center</v>
      </c>
      <c r="H14" s="5" t="str">
        <f t="shared" ca="1" si="1"/>
        <v>Albany Medical Center</v>
      </c>
      <c r="I14" s="3" t="str">
        <f t="shared" ca="1" si="2"/>
        <v>'Albany Medical Center',</v>
      </c>
    </row>
    <row r="15" spans="1:9">
      <c r="A15" s="1" t="s">
        <v>13</v>
      </c>
      <c r="B15" s="3" t="str">
        <f ca="1">IFERROR(__xludf.DUMMYFUNCTION("SPLIT(A15,"","")"),"US")</f>
        <v>US</v>
      </c>
      <c r="C15" s="3" t="str">
        <f ca="1">IFERROR(__xludf.DUMMYFUNCTION("""COMPUTED_VALUE"""),"Albany State University")</f>
        <v>Albany State University</v>
      </c>
      <c r="D15" s="4" t="str">
        <f ca="1">IFERROR(__xludf.DUMMYFUNCTION("""COMPUTED_VALUE"""),"http://www.asurams.edu/")</f>
        <v>http://www.asurams.edu/</v>
      </c>
      <c r="G15" s="2" t="str">
        <f t="shared" ca="1" si="0"/>
        <v>Albany State University</v>
      </c>
      <c r="H15" s="5" t="str">
        <f t="shared" ca="1" si="1"/>
        <v>Albany State University</v>
      </c>
      <c r="I15" s="3" t="str">
        <f t="shared" ca="1" si="2"/>
        <v>'Albany State University',</v>
      </c>
    </row>
    <row r="16" spans="1:9">
      <c r="A16" s="1" t="s">
        <v>14</v>
      </c>
      <c r="B16" s="3" t="str">
        <f ca="1">IFERROR(__xludf.DUMMYFUNCTION("SPLIT(A16,"","")"),"US")</f>
        <v>US</v>
      </c>
      <c r="C16" s="3" t="str">
        <f ca="1">IFERROR(__xludf.DUMMYFUNCTION("""COMPUTED_VALUE"""),"Albertus Magnus College")</f>
        <v>Albertus Magnus College</v>
      </c>
      <c r="D16" s="4" t="str">
        <f ca="1">IFERROR(__xludf.DUMMYFUNCTION("""COMPUTED_VALUE"""),"http://www.albertus.edu/")</f>
        <v>http://www.albertus.edu/</v>
      </c>
      <c r="G16" s="2" t="str">
        <f t="shared" ca="1" si="0"/>
        <v>Albertus Magnus College</v>
      </c>
      <c r="H16" s="5" t="str">
        <f t="shared" ca="1" si="1"/>
        <v>Albertus Magnus College</v>
      </c>
      <c r="I16" s="3" t="str">
        <f t="shared" ca="1" si="2"/>
        <v>'Albertus Magnus College',</v>
      </c>
    </row>
    <row r="17" spans="1:9">
      <c r="A17" s="1" t="s">
        <v>15</v>
      </c>
      <c r="B17" s="3" t="str">
        <f ca="1">IFERROR(__xludf.DUMMYFUNCTION("SPLIT(A17,"","")"),"US")</f>
        <v>US</v>
      </c>
      <c r="C17" s="3" t="str">
        <f ca="1">IFERROR(__xludf.DUMMYFUNCTION("""COMPUTED_VALUE"""),"Albion College")</f>
        <v>Albion College</v>
      </c>
      <c r="D17" s="4" t="str">
        <f ca="1">IFERROR(__xludf.DUMMYFUNCTION("""COMPUTED_VALUE"""),"http://www.albion.edu/")</f>
        <v>http://www.albion.edu/</v>
      </c>
      <c r="G17" s="2" t="str">
        <f t="shared" ca="1" si="0"/>
        <v>Albion College</v>
      </c>
      <c r="H17" s="5" t="str">
        <f t="shared" ca="1" si="1"/>
        <v>Albion College</v>
      </c>
      <c r="I17" s="3" t="str">
        <f t="shared" ca="1" si="2"/>
        <v>'Albion College',</v>
      </c>
    </row>
    <row r="18" spans="1:9">
      <c r="A18" s="1" t="s">
        <v>16</v>
      </c>
      <c r="B18" s="3" t="str">
        <f ca="1">IFERROR(__xludf.DUMMYFUNCTION("SPLIT(A18,"","")"),"US")</f>
        <v>US</v>
      </c>
      <c r="C18" s="3" t="str">
        <f ca="1">IFERROR(__xludf.DUMMYFUNCTION("""COMPUTED_VALUE"""),"Albright College")</f>
        <v>Albright College</v>
      </c>
      <c r="D18" s="4" t="str">
        <f ca="1">IFERROR(__xludf.DUMMYFUNCTION("""COMPUTED_VALUE"""),"http://www.albright.edu/")</f>
        <v>http://www.albright.edu/</v>
      </c>
      <c r="G18" s="2" t="str">
        <f t="shared" ca="1" si="0"/>
        <v>Albright College</v>
      </c>
      <c r="H18" s="5" t="str">
        <f t="shared" ca="1" si="1"/>
        <v>Albright College</v>
      </c>
      <c r="I18" s="3" t="str">
        <f t="shared" ca="1" si="2"/>
        <v>'Albright College',</v>
      </c>
    </row>
    <row r="19" spans="1:9">
      <c r="A19" s="1" t="s">
        <v>17</v>
      </c>
      <c r="B19" s="3" t="str">
        <f ca="1">IFERROR(__xludf.DUMMYFUNCTION("SPLIT(A19,"","")"),"US")</f>
        <v>US</v>
      </c>
      <c r="C19" s="3" t="str">
        <f ca="1">IFERROR(__xludf.DUMMYFUNCTION("""COMPUTED_VALUE"""),"Alcorn State University")</f>
        <v>Alcorn State University</v>
      </c>
      <c r="D19" s="4" t="str">
        <f ca="1">IFERROR(__xludf.DUMMYFUNCTION("""COMPUTED_VALUE"""),"http://www.alcorn.edu/")</f>
        <v>http://www.alcorn.edu/</v>
      </c>
      <c r="G19" s="2" t="str">
        <f t="shared" ca="1" si="0"/>
        <v>Alcorn State University</v>
      </c>
      <c r="H19" s="5" t="str">
        <f t="shared" ca="1" si="1"/>
        <v>Alcorn State University</v>
      </c>
      <c r="I19" s="3" t="str">
        <f t="shared" ca="1" si="2"/>
        <v>'Alcorn State University',</v>
      </c>
    </row>
    <row r="20" spans="1:9">
      <c r="A20" s="1" t="s">
        <v>18</v>
      </c>
      <c r="B20" s="3" t="str">
        <f ca="1">IFERROR(__xludf.DUMMYFUNCTION("SPLIT(A20,"","")"),"US")</f>
        <v>US</v>
      </c>
      <c r="C20" s="3" t="str">
        <f ca="1">IFERROR(__xludf.DUMMYFUNCTION("""COMPUTED_VALUE"""),"Alderson Broaddus College")</f>
        <v>Alderson Broaddus College</v>
      </c>
      <c r="D20" s="4" t="str">
        <f ca="1">IFERROR(__xludf.DUMMYFUNCTION("""COMPUTED_VALUE"""),"http://www.ab.edu/")</f>
        <v>http://www.ab.edu/</v>
      </c>
      <c r="G20" s="2" t="str">
        <f t="shared" ca="1" si="0"/>
        <v>Alderson Broaddus College</v>
      </c>
      <c r="H20" s="5" t="str">
        <f t="shared" ca="1" si="1"/>
        <v>Alderson Broaddus College</v>
      </c>
      <c r="I20" s="3" t="str">
        <f t="shared" ca="1" si="2"/>
        <v>'Alderson Broaddus College',</v>
      </c>
    </row>
    <row r="21" spans="1:9">
      <c r="A21" s="1" t="s">
        <v>19</v>
      </c>
      <c r="B21" s="3" t="str">
        <f ca="1">IFERROR(__xludf.DUMMYFUNCTION("SPLIT(A21,"","")"),"US")</f>
        <v>US</v>
      </c>
      <c r="C21" s="3" t="str">
        <f ca="1">IFERROR(__xludf.DUMMYFUNCTION("""COMPUTED_VALUE"""),"Alfred Adler Graduate School")</f>
        <v>Alfred Adler Graduate School</v>
      </c>
      <c r="D21" s="4" t="str">
        <f ca="1">IFERROR(__xludf.DUMMYFUNCTION("""COMPUTED_VALUE"""),"http://www.alfredadler.edu/")</f>
        <v>http://www.alfredadler.edu/</v>
      </c>
      <c r="G21" s="2" t="str">
        <f t="shared" ca="1" si="0"/>
        <v>Alfred Adler Graduate School</v>
      </c>
      <c r="H21" s="5" t="str">
        <f t="shared" ca="1" si="1"/>
        <v>Alfred Adler Graduate School</v>
      </c>
      <c r="I21" s="3" t="str">
        <f t="shared" ca="1" si="2"/>
        <v>'Alfred Adler Graduate School',</v>
      </c>
    </row>
    <row r="22" spans="1:9">
      <c r="A22" s="1" t="s">
        <v>20</v>
      </c>
      <c r="B22" s="3" t="str">
        <f ca="1">IFERROR(__xludf.DUMMYFUNCTION("SPLIT(A22,"","")"),"US")</f>
        <v>US</v>
      </c>
      <c r="C22" s="3" t="str">
        <f ca="1">IFERROR(__xludf.DUMMYFUNCTION("""COMPUTED_VALUE"""),"Alfred University")</f>
        <v>Alfred University</v>
      </c>
      <c r="D22" s="4" t="str">
        <f ca="1">IFERROR(__xludf.DUMMYFUNCTION("""COMPUTED_VALUE"""),"http://www.alfred.edu/")</f>
        <v>http://www.alfred.edu/</v>
      </c>
      <c r="G22" s="2" t="str">
        <f t="shared" ca="1" si="0"/>
        <v>Alfred University</v>
      </c>
      <c r="H22" s="5" t="str">
        <f t="shared" ca="1" si="1"/>
        <v>Alfred University</v>
      </c>
      <c r="I22" s="3" t="str">
        <f t="shared" ca="1" si="2"/>
        <v>'Alfred University',</v>
      </c>
    </row>
    <row r="23" spans="1:9">
      <c r="A23" s="1" t="s">
        <v>21</v>
      </c>
      <c r="B23" s="3" t="str">
        <f ca="1">IFERROR(__xludf.DUMMYFUNCTION("SPLIT(A23,"","")"),"US")</f>
        <v>US</v>
      </c>
      <c r="C23" s="3" t="str">
        <f ca="1">IFERROR(__xludf.DUMMYFUNCTION("""COMPUTED_VALUE"""),"Alice Lloyd College")</f>
        <v>Alice Lloyd College</v>
      </c>
      <c r="D23" s="4" t="str">
        <f ca="1">IFERROR(__xludf.DUMMYFUNCTION("""COMPUTED_VALUE"""),"http://www.alc.edu/")</f>
        <v>http://www.alc.edu/</v>
      </c>
      <c r="G23" s="2" t="str">
        <f t="shared" ca="1" si="0"/>
        <v>Alice Lloyd College</v>
      </c>
      <c r="H23" s="5" t="str">
        <f t="shared" ca="1" si="1"/>
        <v>Alice Lloyd College</v>
      </c>
      <c r="I23" s="3" t="str">
        <f t="shared" ca="1" si="2"/>
        <v>'Alice Lloyd College',</v>
      </c>
    </row>
    <row r="24" spans="1:9">
      <c r="A24" s="1" t="s">
        <v>22</v>
      </c>
      <c r="B24" s="3" t="str">
        <f ca="1">IFERROR(__xludf.DUMMYFUNCTION("SPLIT(A24,"","")"),"US")</f>
        <v>US</v>
      </c>
      <c r="C24" s="3" t="str">
        <f ca="1">IFERROR(__xludf.DUMMYFUNCTION("""COMPUTED_VALUE"""),"Allegheny College")</f>
        <v>Allegheny College</v>
      </c>
      <c r="D24" s="4" t="str">
        <f ca="1">IFERROR(__xludf.DUMMYFUNCTION("""COMPUTED_VALUE"""),"http://www.alleg.edu/")</f>
        <v>http://www.alleg.edu/</v>
      </c>
      <c r="G24" s="2" t="str">
        <f t="shared" ca="1" si="0"/>
        <v>Allegheny College</v>
      </c>
      <c r="H24" s="5" t="str">
        <f t="shared" ca="1" si="1"/>
        <v>Allegheny College</v>
      </c>
      <c r="I24" s="3" t="str">
        <f t="shared" ca="1" si="2"/>
        <v>'Allegheny College',</v>
      </c>
    </row>
    <row r="25" spans="1:9">
      <c r="A25" s="1" t="s">
        <v>23</v>
      </c>
      <c r="B25" s="3" t="str">
        <f ca="1">IFERROR(__xludf.DUMMYFUNCTION("SPLIT(A25,"","")"),"US")</f>
        <v>US</v>
      </c>
      <c r="C25" s="3" t="str">
        <f ca="1">IFERROR(__xludf.DUMMYFUNCTION("""COMPUTED_VALUE"""),"Allen University")</f>
        <v>Allen University</v>
      </c>
      <c r="D25" s="4" t="str">
        <f ca="1">IFERROR(__xludf.DUMMYFUNCTION("""COMPUTED_VALUE"""),"http://www.scicu.org/allen/")</f>
        <v>http://www.scicu.org/allen/</v>
      </c>
      <c r="G25" s="2" t="str">
        <f t="shared" ca="1" si="0"/>
        <v>Allen University</v>
      </c>
      <c r="H25" s="5" t="str">
        <f t="shared" ca="1" si="1"/>
        <v>Allen University</v>
      </c>
      <c r="I25" s="3" t="str">
        <f t="shared" ca="1" si="2"/>
        <v>'Allen University',</v>
      </c>
    </row>
    <row r="26" spans="1:9">
      <c r="A26" s="1" t="s">
        <v>24</v>
      </c>
      <c r="B26" s="3" t="str">
        <f ca="1">IFERROR(__xludf.DUMMYFUNCTION("SPLIT(A26,"","")"),"US")</f>
        <v>US</v>
      </c>
      <c r="C26" s="3" t="str">
        <f ca="1">IFERROR(__xludf.DUMMYFUNCTION("""COMPUTED_VALUE"""),"Alma College")</f>
        <v>Alma College</v>
      </c>
      <c r="D26" s="4" t="str">
        <f ca="1">IFERROR(__xludf.DUMMYFUNCTION("""COMPUTED_VALUE"""),"http://www.alma.edu/")</f>
        <v>http://www.alma.edu/</v>
      </c>
      <c r="G26" s="2" t="str">
        <f t="shared" ca="1" si="0"/>
        <v>Alma College</v>
      </c>
      <c r="H26" s="5" t="str">
        <f t="shared" ca="1" si="1"/>
        <v>Alma College</v>
      </c>
      <c r="I26" s="3" t="str">
        <f t="shared" ca="1" si="2"/>
        <v>'Alma College',</v>
      </c>
    </row>
    <row r="27" spans="1:9">
      <c r="A27" s="1" t="s">
        <v>25</v>
      </c>
      <c r="B27" s="3" t="str">
        <f ca="1">IFERROR(__xludf.DUMMYFUNCTION("SPLIT(A27,"","")"),"US")</f>
        <v>US</v>
      </c>
      <c r="C27" s="3" t="str">
        <f ca="1">IFERROR(__xludf.DUMMYFUNCTION("""COMPUTED_VALUE"""),"Alvernia College")</f>
        <v>Alvernia College</v>
      </c>
      <c r="D27" s="4" t="str">
        <f ca="1">IFERROR(__xludf.DUMMYFUNCTION("""COMPUTED_VALUE"""),"http://www.alvernia.edu/")</f>
        <v>http://www.alvernia.edu/</v>
      </c>
      <c r="G27" s="2" t="str">
        <f t="shared" ca="1" si="0"/>
        <v>Alvernia College</v>
      </c>
      <c r="H27" s="5" t="str">
        <f t="shared" ca="1" si="1"/>
        <v>Alvernia College</v>
      </c>
      <c r="I27" s="3" t="str">
        <f t="shared" ca="1" si="2"/>
        <v>'Alvernia College',</v>
      </c>
    </row>
    <row r="28" spans="1:9">
      <c r="A28" s="1" t="s">
        <v>26</v>
      </c>
      <c r="B28" s="3" t="str">
        <f ca="1">IFERROR(__xludf.DUMMYFUNCTION("SPLIT(A28,"","")"),"US")</f>
        <v>US</v>
      </c>
      <c r="C28" s="3" t="str">
        <f ca="1">IFERROR(__xludf.DUMMYFUNCTION("""COMPUTED_VALUE"""),"Alverno College")</f>
        <v>Alverno College</v>
      </c>
      <c r="D28" s="4" t="str">
        <f ca="1">IFERROR(__xludf.DUMMYFUNCTION("""COMPUTED_VALUE"""),"http://www.alverno.edu/")</f>
        <v>http://www.alverno.edu/</v>
      </c>
      <c r="G28" s="2" t="str">
        <f t="shared" ca="1" si="0"/>
        <v>Alverno College</v>
      </c>
      <c r="H28" s="5" t="str">
        <f t="shared" ca="1" si="1"/>
        <v>Alverno College</v>
      </c>
      <c r="I28" s="3" t="str">
        <f t="shared" ca="1" si="2"/>
        <v>'Alverno College',</v>
      </c>
    </row>
    <row r="29" spans="1:9">
      <c r="A29" s="1" t="s">
        <v>27</v>
      </c>
      <c r="B29" s="3" t="str">
        <f ca="1">IFERROR(__xludf.DUMMYFUNCTION("SPLIT(A29,"","")"),"US")</f>
        <v>US</v>
      </c>
      <c r="C29" s="3" t="str">
        <f ca="1">IFERROR(__xludf.DUMMYFUNCTION("""COMPUTED_VALUE"""),"Ambassador University")</f>
        <v>Ambassador University</v>
      </c>
      <c r="D29" s="4" t="str">
        <f ca="1">IFERROR(__xludf.DUMMYFUNCTION("""COMPUTED_VALUE"""),"http://www.ambassador.edu/")</f>
        <v>http://www.ambassador.edu/</v>
      </c>
      <c r="G29" s="2" t="str">
        <f t="shared" ca="1" si="0"/>
        <v>Ambassador University</v>
      </c>
      <c r="H29" s="5" t="str">
        <f t="shared" ca="1" si="1"/>
        <v>Ambassador University</v>
      </c>
      <c r="I29" s="3" t="str">
        <f t="shared" ca="1" si="2"/>
        <v>'Ambassador University',</v>
      </c>
    </row>
    <row r="30" spans="1:9">
      <c r="A30" s="1" t="s">
        <v>28</v>
      </c>
      <c r="B30" s="3" t="str">
        <f ca="1">IFERROR(__xludf.DUMMYFUNCTION("SPLIT(A30,"","")"),"US")</f>
        <v>US</v>
      </c>
      <c r="C30" s="3" t="str">
        <f ca="1">IFERROR(__xludf.DUMMYFUNCTION("""COMPUTED_VALUE"""),"Amber University")</f>
        <v>Amber University</v>
      </c>
      <c r="D30" s="4" t="str">
        <f ca="1">IFERROR(__xludf.DUMMYFUNCTION("""COMPUTED_VALUE"""),"http://www.amberu.edu/")</f>
        <v>http://www.amberu.edu/</v>
      </c>
      <c r="G30" s="2" t="str">
        <f t="shared" ca="1" si="0"/>
        <v>Amber University</v>
      </c>
      <c r="H30" s="5" t="str">
        <f t="shared" ca="1" si="1"/>
        <v>Amber University</v>
      </c>
      <c r="I30" s="3" t="str">
        <f t="shared" ca="1" si="2"/>
        <v>'Amber University',</v>
      </c>
    </row>
    <row r="31" spans="1:9">
      <c r="A31" s="1" t="s">
        <v>29</v>
      </c>
      <c r="B31" s="3" t="str">
        <f ca="1">IFERROR(__xludf.DUMMYFUNCTION("SPLIT(A31,"","")"),"US")</f>
        <v>US</v>
      </c>
      <c r="C31" s="3" t="str">
        <f ca="1">IFERROR(__xludf.DUMMYFUNCTION("""COMPUTED_VALUE"""),"American Academy of Nutrition")</f>
        <v>American Academy of Nutrition</v>
      </c>
      <c r="D31" s="4" t="str">
        <f ca="1">IFERROR(__xludf.DUMMYFUNCTION("""COMPUTED_VALUE"""),"http://www.nutritioneducation.com/")</f>
        <v>http://www.nutritioneducation.com/</v>
      </c>
      <c r="G31" s="2" t="str">
        <f t="shared" ca="1" si="0"/>
        <v>American Academy of Nutrition</v>
      </c>
      <c r="H31" s="5" t="str">
        <f t="shared" ca="1" si="1"/>
        <v>American Academy of Nutrition</v>
      </c>
      <c r="I31" s="3" t="str">
        <f t="shared" ca="1" si="2"/>
        <v>'American Academy of Nutrition',</v>
      </c>
    </row>
    <row r="32" spans="1:9">
      <c r="A32" s="1" t="s">
        <v>30</v>
      </c>
      <c r="B32" s="3" t="str">
        <f ca="1">IFERROR(__xludf.DUMMYFUNCTION("SPLIT(A32,"","")"),"US")</f>
        <v>US</v>
      </c>
      <c r="C32" s="3" t="str">
        <f ca="1">IFERROR(__xludf.DUMMYFUNCTION("""COMPUTED_VALUE"""),"American Business &amp; Technology University")</f>
        <v>American Business &amp; Technology University</v>
      </c>
      <c r="D32" s="4" t="str">
        <f ca="1">IFERROR(__xludf.DUMMYFUNCTION("""COMPUTED_VALUE"""),"http://www.abtu.edu/")</f>
        <v>http://www.abtu.edu/</v>
      </c>
      <c r="G32" s="2" t="str">
        <f t="shared" ca="1" si="0"/>
        <v>American Business &amp; Technology University</v>
      </c>
      <c r="H32" s="5" t="str">
        <f t="shared" ca="1" si="1"/>
        <v>American Business &amp; Technology University</v>
      </c>
      <c r="I32" s="3" t="str">
        <f t="shared" ca="1" si="2"/>
        <v>'American Business &amp; Technology University',</v>
      </c>
    </row>
    <row r="33" spans="1:9">
      <c r="A33" s="1" t="s">
        <v>31</v>
      </c>
      <c r="B33" s="3" t="str">
        <f ca="1">IFERROR(__xludf.DUMMYFUNCTION("SPLIT(A33,"","")"),"US")</f>
        <v>US</v>
      </c>
      <c r="C33" s="3" t="str">
        <f ca="1">IFERROR(__xludf.DUMMYFUNCTION("""COMPUTED_VALUE"""),"American Conservatory of Music")</f>
        <v>American Conservatory of Music</v>
      </c>
      <c r="D33" s="4" t="str">
        <f ca="1">IFERROR(__xludf.DUMMYFUNCTION("""COMPUTED_VALUE"""),"http://members.aol.com/amerconsmu/")</f>
        <v>http://members.aol.com/amerconsmu/</v>
      </c>
      <c r="G33" s="2" t="str">
        <f t="shared" ca="1" si="0"/>
        <v>American Conservatory of Music</v>
      </c>
      <c r="H33" s="5" t="str">
        <f t="shared" ca="1" si="1"/>
        <v>American Conservatory of Music</v>
      </c>
      <c r="I33" s="3" t="str">
        <f t="shared" ca="1" si="2"/>
        <v>'American Conservatory of Music',</v>
      </c>
    </row>
    <row r="34" spans="1:9">
      <c r="A34" s="1" t="s">
        <v>32</v>
      </c>
      <c r="B34" s="3" t="str">
        <f ca="1">IFERROR(__xludf.DUMMYFUNCTION("SPLIT(A34,"","")"),"US")</f>
        <v>US</v>
      </c>
      <c r="C34" s="3" t="str">
        <f ca="1">IFERROR(__xludf.DUMMYFUNCTION("""COMPUTED_VALUE"""),"American Conservatory Theater")</f>
        <v>American Conservatory Theater</v>
      </c>
      <c r="D34" s="4" t="str">
        <f ca="1">IFERROR(__xludf.DUMMYFUNCTION("""COMPUTED_VALUE"""),"http://www.act-sfbay.org/")</f>
        <v>http://www.act-sfbay.org/</v>
      </c>
      <c r="G34" s="2" t="str">
        <f t="shared" ca="1" si="0"/>
        <v>American Conservatory Theater</v>
      </c>
      <c r="H34" s="5" t="str">
        <f t="shared" ca="1" si="1"/>
        <v>American Conservatory Theater</v>
      </c>
      <c r="I34" s="3" t="str">
        <f t="shared" ca="1" si="2"/>
        <v>'American Conservatory Theater',</v>
      </c>
    </row>
    <row r="35" spans="1:9">
      <c r="A35" s="1" t="s">
        <v>33</v>
      </c>
      <c r="B35" s="3" t="str">
        <f ca="1">IFERROR(__xludf.DUMMYFUNCTION("SPLIT(A35,"","")"),"US")</f>
        <v>US</v>
      </c>
      <c r="C35" s="3" t="str">
        <f ca="1">IFERROR(__xludf.DUMMYFUNCTION("""COMPUTED_VALUE"""),"American-European School of Management ")</f>
        <v xml:space="preserve">American-European School of Management </v>
      </c>
      <c r="D35" s="4" t="str">
        <f ca="1">IFERROR(__xludf.DUMMYFUNCTION("""COMPUTED_VALUE"""),"http://www.aesom.com/")</f>
        <v>http://www.aesom.com/</v>
      </c>
      <c r="G35" s="2" t="str">
        <f t="shared" ca="1" si="0"/>
        <v xml:space="preserve">American-European School of Management </v>
      </c>
      <c r="H35" s="5" t="str">
        <f t="shared" ca="1" si="1"/>
        <v xml:space="preserve">American-European School of Management </v>
      </c>
      <c r="I35" s="3" t="str">
        <f t="shared" ca="1" si="2"/>
        <v>'American-European School of Management ',</v>
      </c>
    </row>
    <row r="36" spans="1:9">
      <c r="A36" s="1" t="s">
        <v>34</v>
      </c>
      <c r="B36" s="3" t="str">
        <f ca="1">IFERROR(__xludf.DUMMYFUNCTION("SPLIT(A36,"","")"),"US")</f>
        <v>US</v>
      </c>
      <c r="C36" s="3" t="str">
        <f ca="1">IFERROR(__xludf.DUMMYFUNCTION("""COMPUTED_VALUE"""),"American Film Institute Center for Advanced Film and Television Studies")</f>
        <v>American Film Institute Center for Advanced Film and Television Studies</v>
      </c>
      <c r="D36" s="4" t="str">
        <f ca="1">IFERROR(__xludf.DUMMYFUNCTION("""COMPUTED_VALUE"""),"http://www.afionline.org/cafts/cafts.home.html")</f>
        <v>http://www.afionline.org/cafts/cafts.home.html</v>
      </c>
      <c r="G36" s="2" t="str">
        <f t="shared" ca="1" si="0"/>
        <v>American Film Institute Center for Advanced Film and Television Studies</v>
      </c>
      <c r="H36" s="5" t="str">
        <f t="shared" ca="1" si="1"/>
        <v>American Film Institute Center for Advanced Film and Television Studies</v>
      </c>
      <c r="I36" s="3" t="str">
        <f t="shared" ca="1" si="2"/>
        <v>'American Film Institute Center for Advanced Film and Television Studies',</v>
      </c>
    </row>
    <row r="37" spans="1:9">
      <c r="A37" s="1" t="s">
        <v>35</v>
      </c>
      <c r="B37" s="3" t="str">
        <f ca="1">IFERROR(__xludf.DUMMYFUNCTION("SPLIT(A37,"","")"),"US")</f>
        <v>US</v>
      </c>
      <c r="C37" s="3" t="str">
        <f ca="1">IFERROR(__xludf.DUMMYFUNCTION("""COMPUTED_VALUE"""),"American Indian College")</f>
        <v>American Indian College</v>
      </c>
      <c r="D37" s="4" t="str">
        <f ca="1">IFERROR(__xludf.DUMMYFUNCTION("""COMPUTED_VALUE"""),"http://www.aicag.edu/")</f>
        <v>http://www.aicag.edu/</v>
      </c>
      <c r="G37" s="2" t="str">
        <f t="shared" ca="1" si="0"/>
        <v>American Indian College</v>
      </c>
      <c r="H37" s="5" t="str">
        <f t="shared" ca="1" si="1"/>
        <v>American Indian College</v>
      </c>
      <c r="I37" s="3" t="str">
        <f t="shared" ca="1" si="2"/>
        <v>'American Indian College',</v>
      </c>
    </row>
    <row r="38" spans="1:9">
      <c r="A38" s="1" t="s">
        <v>36</v>
      </c>
      <c r="B38" s="3" t="str">
        <f ca="1">IFERROR(__xludf.DUMMYFUNCTION("SPLIT(A38,"","")"),"US")</f>
        <v>US</v>
      </c>
      <c r="C38" s="3" t="str">
        <f ca="1">IFERROR(__xludf.DUMMYFUNCTION("""COMPUTED_VALUE"""),"American InterContinental University - Atlanta")</f>
        <v>American InterContinental University - Atlanta</v>
      </c>
      <c r="D38" s="4" t="str">
        <f ca="1">IFERROR(__xludf.DUMMYFUNCTION("""COMPUTED_VALUE"""),"http://www.aiuniv.edu/")</f>
        <v>http://www.aiuniv.edu/</v>
      </c>
      <c r="G38" s="2" t="str">
        <f t="shared" ca="1" si="0"/>
        <v>American InterContinental University - Atlanta</v>
      </c>
      <c r="H38" s="5" t="str">
        <f t="shared" ca="1" si="1"/>
        <v>American InterContinental University - Atlanta</v>
      </c>
      <c r="I38" s="3" t="str">
        <f t="shared" ca="1" si="2"/>
        <v>'American InterContinental University - Atlanta',</v>
      </c>
    </row>
    <row r="39" spans="1:9">
      <c r="A39" s="1" t="s">
        <v>37</v>
      </c>
      <c r="B39" s="3" t="str">
        <f ca="1">IFERROR(__xludf.DUMMYFUNCTION("SPLIT(A39,"","")"),"US")</f>
        <v>US</v>
      </c>
      <c r="C39" s="3" t="str">
        <f ca="1">IFERROR(__xludf.DUMMYFUNCTION("""COMPUTED_VALUE"""),"American InterContinental University - Ft. Lauderdale")</f>
        <v>American InterContinental University - Ft. Lauderdale</v>
      </c>
      <c r="D39" s="4" t="str">
        <f ca="1">IFERROR(__xludf.DUMMYFUNCTION("""COMPUTED_VALUE"""),"http://www.aiuniv.edu/")</f>
        <v>http://www.aiuniv.edu/</v>
      </c>
      <c r="G39" s="2" t="str">
        <f t="shared" ca="1" si="0"/>
        <v>American InterContinental University - Ft. Lauderdale</v>
      </c>
      <c r="H39" s="5" t="str">
        <f t="shared" ca="1" si="1"/>
        <v>American InterContinental University - Ft. Lauderdale</v>
      </c>
      <c r="I39" s="3" t="str">
        <f t="shared" ca="1" si="2"/>
        <v>'American InterContinental University - Ft. Lauderdale',</v>
      </c>
    </row>
    <row r="40" spans="1:9">
      <c r="A40" s="1" t="s">
        <v>38</v>
      </c>
      <c r="B40" s="3" t="str">
        <f ca="1">IFERROR(__xludf.DUMMYFUNCTION("SPLIT(A40,"","")"),"US")</f>
        <v>US</v>
      </c>
      <c r="C40" s="3" t="str">
        <f ca="1">IFERROR(__xludf.DUMMYFUNCTION("""COMPUTED_VALUE"""),"American InterContinental University - Georgia")</f>
        <v>American InterContinental University - Georgia</v>
      </c>
      <c r="D40" s="4" t="str">
        <f ca="1">IFERROR(__xludf.DUMMYFUNCTION("""COMPUTED_VALUE"""),"http://www.aiuniv.edu/")</f>
        <v>http://www.aiuniv.edu/</v>
      </c>
      <c r="G40" s="2" t="str">
        <f t="shared" ca="1" si="0"/>
        <v>American InterContinental University - Georgia</v>
      </c>
      <c r="H40" s="5" t="str">
        <f t="shared" ca="1" si="1"/>
        <v>American InterContinental University - Georgia</v>
      </c>
      <c r="I40" s="3" t="str">
        <f t="shared" ca="1" si="2"/>
        <v>'American InterContinental University - Georgia',</v>
      </c>
    </row>
    <row r="41" spans="1:9">
      <c r="A41" s="1" t="s">
        <v>39</v>
      </c>
      <c r="B41" s="3" t="str">
        <f ca="1">IFERROR(__xludf.DUMMYFUNCTION("SPLIT(A41,"","")"),"US")</f>
        <v>US</v>
      </c>
      <c r="C41" s="3" t="str">
        <f ca="1">IFERROR(__xludf.DUMMYFUNCTION("""COMPUTED_VALUE"""),"American InterContinental University Online")</f>
        <v>American InterContinental University Online</v>
      </c>
      <c r="D41" s="4" t="str">
        <f ca="1">IFERROR(__xludf.DUMMYFUNCTION("""COMPUTED_VALUE"""),"http://www.aiu-online.com/")</f>
        <v>http://www.aiu-online.com/</v>
      </c>
      <c r="G41" s="2" t="str">
        <f t="shared" ca="1" si="0"/>
        <v>American InterContinental University Online</v>
      </c>
      <c r="H41" s="5" t="str">
        <f t="shared" ca="1" si="1"/>
        <v>American InterContinental University Online</v>
      </c>
      <c r="I41" s="3" t="str">
        <f t="shared" ca="1" si="2"/>
        <v>'American InterContinental University Online',</v>
      </c>
    </row>
    <row r="42" spans="1:9">
      <c r="A42" s="1" t="s">
        <v>40</v>
      </c>
      <c r="B42" s="3" t="str">
        <f ca="1">IFERROR(__xludf.DUMMYFUNCTION("SPLIT(A42,"","")"),"US")</f>
        <v>US</v>
      </c>
      <c r="C42" s="3" t="str">
        <f ca="1">IFERROR(__xludf.DUMMYFUNCTION("""COMPUTED_VALUE"""),"American International College")</f>
        <v>American International College</v>
      </c>
      <c r="D42" s="4" t="str">
        <f ca="1">IFERROR(__xludf.DUMMYFUNCTION("""COMPUTED_VALUE"""),"http://www.aic.edu/")</f>
        <v>http://www.aic.edu/</v>
      </c>
      <c r="G42" s="2" t="str">
        <f t="shared" ca="1" si="0"/>
        <v>American International College</v>
      </c>
      <c r="H42" s="5" t="str">
        <f t="shared" ca="1" si="1"/>
        <v>American International College</v>
      </c>
      <c r="I42" s="3" t="str">
        <f t="shared" ca="1" si="2"/>
        <v>'American International College',</v>
      </c>
    </row>
    <row r="43" spans="1:9">
      <c r="A43" s="1" t="s">
        <v>41</v>
      </c>
      <c r="B43" s="3" t="str">
        <f ca="1">IFERROR(__xludf.DUMMYFUNCTION("SPLIT(A43,"","")"),"US")</f>
        <v>US</v>
      </c>
      <c r="C43" s="3" t="str">
        <f ca="1">IFERROR(__xludf.DUMMYFUNCTION("""COMPUTED_VALUE"""),"American Jewish University")</f>
        <v>American Jewish University</v>
      </c>
      <c r="D43" s="4" t="str">
        <f ca="1">IFERROR(__xludf.DUMMYFUNCTION("""COMPUTED_VALUE"""),"http://www.ajula.edu/")</f>
        <v>http://www.ajula.edu/</v>
      </c>
      <c r="G43" s="2" t="str">
        <f t="shared" ca="1" si="0"/>
        <v>American Jewish University</v>
      </c>
      <c r="H43" s="5" t="str">
        <f t="shared" ca="1" si="1"/>
        <v>American Jewish University</v>
      </c>
      <c r="I43" s="3" t="str">
        <f t="shared" ca="1" si="2"/>
        <v>'American Jewish University',</v>
      </c>
    </row>
    <row r="44" spans="1:9">
      <c r="A44" s="1" t="s">
        <v>42</v>
      </c>
      <c r="B44" s="3" t="str">
        <f ca="1">IFERROR(__xludf.DUMMYFUNCTION("SPLIT(A44,"","")"),"US")</f>
        <v>US</v>
      </c>
      <c r="C44" s="3" t="str">
        <f ca="1">IFERROR(__xludf.DUMMYFUNCTION("""COMPUTED_VALUE"""),"American Military University")</f>
        <v>American Military University</v>
      </c>
      <c r="D44" s="4" t="str">
        <f ca="1">IFERROR(__xludf.DUMMYFUNCTION("""COMPUTED_VALUE"""),"http://www.amunet.edu/")</f>
        <v>http://www.amunet.edu/</v>
      </c>
      <c r="G44" s="2" t="str">
        <f t="shared" ca="1" si="0"/>
        <v>American Military University</v>
      </c>
      <c r="H44" s="5" t="str">
        <f t="shared" ca="1" si="1"/>
        <v>American Military University</v>
      </c>
      <c r="I44" s="3" t="str">
        <f t="shared" ca="1" si="2"/>
        <v>'American Military University',</v>
      </c>
    </row>
    <row r="45" spans="1:9">
      <c r="A45" s="1" t="s">
        <v>43</v>
      </c>
      <c r="B45" s="3" t="str">
        <f ca="1">IFERROR(__xludf.DUMMYFUNCTION("SPLIT(A45,"","")"),"US")</f>
        <v>US</v>
      </c>
      <c r="C45" s="3" t="str">
        <f ca="1">IFERROR(__xludf.DUMMYFUNCTION("""COMPUTED_VALUE"""),"American Public University")</f>
        <v>American Public University</v>
      </c>
      <c r="D45" s="4" t="str">
        <f ca="1">IFERROR(__xludf.DUMMYFUNCTION("""COMPUTED_VALUE"""),"http://www.apus.edu/")</f>
        <v>http://www.apus.edu/</v>
      </c>
      <c r="G45" s="2" t="str">
        <f t="shared" ca="1" si="0"/>
        <v>American Public University</v>
      </c>
      <c r="H45" s="5" t="str">
        <f t="shared" ca="1" si="1"/>
        <v>American Public University</v>
      </c>
      <c r="I45" s="3" t="str">
        <f t="shared" ca="1" si="2"/>
        <v>'American Public University',</v>
      </c>
    </row>
    <row r="46" spans="1:9">
      <c r="A46" s="1" t="s">
        <v>44</v>
      </c>
      <c r="B46" s="3" t="str">
        <f ca="1">IFERROR(__xludf.DUMMYFUNCTION("SPLIT(A46,"","")"),"US")</f>
        <v>US</v>
      </c>
      <c r="C46" s="3" t="str">
        <f ca="1">IFERROR(__xludf.DUMMYFUNCTION("""COMPUTED_VALUE"""),"American University")</f>
        <v>American University</v>
      </c>
      <c r="D46" s="4" t="str">
        <f ca="1">IFERROR(__xludf.DUMMYFUNCTION("""COMPUTED_VALUE"""),"http://www.american.edu/")</f>
        <v>http://www.american.edu/</v>
      </c>
      <c r="G46" s="2" t="str">
        <f t="shared" ca="1" si="0"/>
        <v>American University</v>
      </c>
      <c r="H46" s="5" t="str">
        <f t="shared" ca="1" si="1"/>
        <v>American University</v>
      </c>
      <c r="I46" s="3" t="str">
        <f t="shared" ca="1" si="2"/>
        <v>'American University',</v>
      </c>
    </row>
    <row r="47" spans="1:9">
      <c r="A47" s="1" t="s">
        <v>45</v>
      </c>
      <c r="B47" s="3" t="str">
        <f ca="1">IFERROR(__xludf.DUMMYFUNCTION("SPLIT(A47,"","")"),"US")</f>
        <v>US</v>
      </c>
      <c r="C47" s="3" t="str">
        <f ca="1">IFERROR(__xludf.DUMMYFUNCTION("""COMPUTED_VALUE"""),"American World University")</f>
        <v>American World University</v>
      </c>
      <c r="D47" s="4" t="str">
        <f ca="1">IFERROR(__xludf.DUMMYFUNCTION("""COMPUTED_VALUE"""),"http://www.awu.edu/")</f>
        <v>http://www.awu.edu/</v>
      </c>
      <c r="G47" s="2" t="str">
        <f t="shared" ca="1" si="0"/>
        <v>American World University</v>
      </c>
      <c r="H47" s="5" t="str">
        <f t="shared" ca="1" si="1"/>
        <v>American World University</v>
      </c>
      <c r="I47" s="3" t="str">
        <f t="shared" ca="1" si="2"/>
        <v>'American World University',</v>
      </c>
    </row>
    <row r="48" spans="1:9">
      <c r="A48" s="1" t="s">
        <v>46</v>
      </c>
      <c r="B48" s="3" t="str">
        <f ca="1">IFERROR(__xludf.DUMMYFUNCTION("SPLIT(A48,"","")"),"US")</f>
        <v>US</v>
      </c>
      <c r="C48" s="3" t="str">
        <f ca="1">IFERROR(__xludf.DUMMYFUNCTION("""COMPUTED_VALUE"""),"Amherst College")</f>
        <v>Amherst College</v>
      </c>
      <c r="D48" s="4" t="str">
        <f ca="1">IFERROR(__xludf.DUMMYFUNCTION("""COMPUTED_VALUE"""),"http://www.amherst.edu/")</f>
        <v>http://www.amherst.edu/</v>
      </c>
      <c r="G48" s="2" t="str">
        <f t="shared" ca="1" si="0"/>
        <v>Amherst College</v>
      </c>
      <c r="H48" s="5" t="str">
        <f t="shared" ca="1" si="1"/>
        <v>Amherst College</v>
      </c>
      <c r="I48" s="3" t="str">
        <f t="shared" ca="1" si="2"/>
        <v>'Amherst College',</v>
      </c>
    </row>
    <row r="49" spans="1:9">
      <c r="A49" s="1" t="s">
        <v>47</v>
      </c>
      <c r="B49" s="3" t="str">
        <f ca="1">IFERROR(__xludf.DUMMYFUNCTION("SPLIT(A49,"","")"),"US")</f>
        <v>US</v>
      </c>
      <c r="C49" s="3" t="str">
        <f ca="1">IFERROR(__xludf.DUMMYFUNCTION("""COMPUTED_VALUE"""),"Anderson College")</f>
        <v>Anderson College</v>
      </c>
      <c r="D49" s="4" t="str">
        <f ca="1">IFERROR(__xludf.DUMMYFUNCTION("""COMPUTED_VALUE"""),"http://www.anderson-college.edu/")</f>
        <v>http://www.anderson-college.edu/</v>
      </c>
      <c r="G49" s="2" t="str">
        <f t="shared" ca="1" si="0"/>
        <v>Anderson College</v>
      </c>
      <c r="H49" s="5" t="str">
        <f t="shared" ca="1" si="1"/>
        <v>Anderson College</v>
      </c>
      <c r="I49" s="3" t="str">
        <f t="shared" ca="1" si="2"/>
        <v>'Anderson College',</v>
      </c>
    </row>
    <row r="50" spans="1:9">
      <c r="A50" s="1" t="s">
        <v>48</v>
      </c>
      <c r="B50" s="3" t="str">
        <f ca="1">IFERROR(__xludf.DUMMYFUNCTION("SPLIT(A50,"","")"),"US")</f>
        <v>US</v>
      </c>
      <c r="C50" s="3" t="str">
        <f ca="1">IFERROR(__xludf.DUMMYFUNCTION("""COMPUTED_VALUE"""),"Anderson University")</f>
        <v>Anderson University</v>
      </c>
      <c r="D50" s="4" t="str">
        <f ca="1">IFERROR(__xludf.DUMMYFUNCTION("""COMPUTED_VALUE"""),"http://www.anderson.edu/")</f>
        <v>http://www.anderson.edu/</v>
      </c>
      <c r="G50" s="2" t="str">
        <f t="shared" ca="1" si="0"/>
        <v>Anderson University</v>
      </c>
      <c r="H50" s="5" t="str">
        <f t="shared" ca="1" si="1"/>
        <v>Anderson University</v>
      </c>
      <c r="I50" s="3" t="str">
        <f t="shared" ca="1" si="2"/>
        <v>'Anderson University',</v>
      </c>
    </row>
    <row r="51" spans="1:9">
      <c r="A51" s="1" t="s">
        <v>49</v>
      </c>
      <c r="B51" s="3" t="str">
        <f ca="1">IFERROR(__xludf.DUMMYFUNCTION("SPLIT(A51,"","")"),"US")</f>
        <v>US</v>
      </c>
      <c r="C51" s="3" t="str">
        <f ca="1">IFERROR(__xludf.DUMMYFUNCTION("""COMPUTED_VALUE"""),"Andon College - Modesto")</f>
        <v>Andon College - Modesto</v>
      </c>
      <c r="D51" s="4" t="str">
        <f ca="1">IFERROR(__xludf.DUMMYFUNCTION("""COMPUTED_VALUE"""),"http://www.andoncollege.com/")</f>
        <v>http://www.andoncollege.com/</v>
      </c>
      <c r="G51" s="2" t="str">
        <f t="shared" ca="1" si="0"/>
        <v>Andon College - Modesto</v>
      </c>
      <c r="H51" s="5" t="str">
        <f t="shared" ca="1" si="1"/>
        <v>Andon College - Modesto</v>
      </c>
      <c r="I51" s="3" t="str">
        <f t="shared" ca="1" si="2"/>
        <v>'Andon College - Modesto',</v>
      </c>
    </row>
    <row r="52" spans="1:9">
      <c r="A52" s="1" t="s">
        <v>50</v>
      </c>
      <c r="B52" s="3" t="str">
        <f ca="1">IFERROR(__xludf.DUMMYFUNCTION("SPLIT(A52,"","")"),"US")</f>
        <v>US</v>
      </c>
      <c r="C52" s="3" t="str">
        <f ca="1">IFERROR(__xludf.DUMMYFUNCTION("""COMPUTED_VALUE"""),"Andon College - Stockton")</f>
        <v>Andon College - Stockton</v>
      </c>
      <c r="D52" s="4" t="str">
        <f ca="1">IFERROR(__xludf.DUMMYFUNCTION("""COMPUTED_VALUE"""),"http://www.andoncollege.org/")</f>
        <v>http://www.andoncollege.org/</v>
      </c>
      <c r="G52" s="2" t="str">
        <f t="shared" ca="1" si="0"/>
        <v>Andon College - Stockton</v>
      </c>
      <c r="H52" s="5" t="str">
        <f t="shared" ca="1" si="1"/>
        <v>Andon College - Stockton</v>
      </c>
      <c r="I52" s="3" t="str">
        <f t="shared" ca="1" si="2"/>
        <v>'Andon College - Stockton',</v>
      </c>
    </row>
    <row r="53" spans="1:9">
      <c r="A53" s="1" t="s">
        <v>51</v>
      </c>
      <c r="B53" s="3" t="str">
        <f ca="1">IFERROR(__xludf.DUMMYFUNCTION("SPLIT(A53,"","")"),"US")</f>
        <v>US</v>
      </c>
      <c r="C53" s="3" t="str">
        <f ca="1">IFERROR(__xludf.DUMMYFUNCTION("""COMPUTED_VALUE"""),"Andrew Jackson University")</f>
        <v>Andrew Jackson University</v>
      </c>
      <c r="D53" s="4" t="str">
        <f ca="1">IFERROR(__xludf.DUMMYFUNCTION("""COMPUTED_VALUE"""),"http://www.aju.edu/")</f>
        <v>http://www.aju.edu/</v>
      </c>
      <c r="G53" s="2" t="str">
        <f t="shared" ca="1" si="0"/>
        <v>Andrew Jackson University</v>
      </c>
      <c r="H53" s="5" t="str">
        <f t="shared" ca="1" si="1"/>
        <v>Andrew Jackson University</v>
      </c>
      <c r="I53" s="3" t="str">
        <f t="shared" ca="1" si="2"/>
        <v>'Andrew Jackson University',</v>
      </c>
    </row>
    <row r="54" spans="1:9">
      <c r="A54" s="1" t="s">
        <v>52</v>
      </c>
      <c r="B54" s="3" t="str">
        <f ca="1">IFERROR(__xludf.DUMMYFUNCTION("SPLIT(A54,"","")"),"US")</f>
        <v>US</v>
      </c>
      <c r="C54" s="3" t="str">
        <f ca="1">IFERROR(__xludf.DUMMYFUNCTION("""COMPUTED_VALUE"""),"Andrews University")</f>
        <v>Andrews University</v>
      </c>
      <c r="D54" s="4" t="str">
        <f ca="1">IFERROR(__xludf.DUMMYFUNCTION("""COMPUTED_VALUE"""),"http://www.andrews.edu/")</f>
        <v>http://www.andrews.edu/</v>
      </c>
      <c r="G54" s="2" t="str">
        <f t="shared" ca="1" si="0"/>
        <v>Andrews University</v>
      </c>
      <c r="H54" s="5" t="str">
        <f t="shared" ca="1" si="1"/>
        <v>Andrews University</v>
      </c>
      <c r="I54" s="3" t="str">
        <f t="shared" ca="1" si="2"/>
        <v>'Andrews University',</v>
      </c>
    </row>
    <row r="55" spans="1:9">
      <c r="A55" s="1" t="s">
        <v>53</v>
      </c>
      <c r="B55" s="3" t="str">
        <f ca="1">IFERROR(__xludf.DUMMYFUNCTION("SPLIT(A55,"","")"),"US")</f>
        <v>US</v>
      </c>
      <c r="C55" s="3" t="str">
        <f ca="1">IFERROR(__xludf.DUMMYFUNCTION("""COMPUTED_VALUE"""),"Angelo State University")</f>
        <v>Angelo State University</v>
      </c>
      <c r="D55" s="4" t="str">
        <f ca="1">IFERROR(__xludf.DUMMYFUNCTION("""COMPUTED_VALUE"""),"http://www.angelo.edu/")</f>
        <v>http://www.angelo.edu/</v>
      </c>
      <c r="G55" s="2" t="str">
        <f t="shared" ca="1" si="0"/>
        <v>Angelo State University</v>
      </c>
      <c r="H55" s="5" t="str">
        <f t="shared" ca="1" si="1"/>
        <v>Angelo State University</v>
      </c>
      <c r="I55" s="3" t="str">
        <f t="shared" ca="1" si="2"/>
        <v>'Angelo State University',</v>
      </c>
    </row>
    <row r="56" spans="1:9">
      <c r="A56" s="1" t="s">
        <v>54</v>
      </c>
      <c r="B56" s="3" t="str">
        <f ca="1">IFERROR(__xludf.DUMMYFUNCTION("SPLIT(A56,"","")"),"US")</f>
        <v>US</v>
      </c>
      <c r="C56" s="3" t="str">
        <f ca="1">IFERROR(__xludf.DUMMYFUNCTION("""COMPUTED_VALUE"""),"Anna Maria College")</f>
        <v>Anna Maria College</v>
      </c>
      <c r="D56" s="4" t="str">
        <f ca="1">IFERROR(__xludf.DUMMYFUNCTION("""COMPUTED_VALUE"""),"http://www.anna-maria.edu/")</f>
        <v>http://www.anna-maria.edu/</v>
      </c>
      <c r="G56" s="2" t="str">
        <f t="shared" ca="1" si="0"/>
        <v>Anna Maria College</v>
      </c>
      <c r="H56" s="5" t="str">
        <f t="shared" ca="1" si="1"/>
        <v>Anna Maria College</v>
      </c>
      <c r="I56" s="3" t="str">
        <f t="shared" ca="1" si="2"/>
        <v>'Anna Maria College',</v>
      </c>
    </row>
    <row r="57" spans="1:9">
      <c r="A57" s="1" t="s">
        <v>55</v>
      </c>
      <c r="B57" s="3" t="str">
        <f ca="1">IFERROR(__xludf.DUMMYFUNCTION("SPLIT(A57,"","")"),"US")</f>
        <v>US</v>
      </c>
      <c r="C57" s="3" t="str">
        <f ca="1">IFERROR(__xludf.DUMMYFUNCTION("""COMPUTED_VALUE"""),"Antioch New England Graduate School")</f>
        <v>Antioch New England Graduate School</v>
      </c>
      <c r="D57" s="4" t="str">
        <f ca="1">IFERROR(__xludf.DUMMYFUNCTION("""COMPUTED_VALUE"""),"http://www.antiochne.edu/")</f>
        <v>http://www.antiochne.edu/</v>
      </c>
      <c r="G57" s="2" t="str">
        <f t="shared" ca="1" si="0"/>
        <v>Antioch New England Graduate School</v>
      </c>
      <c r="H57" s="5" t="str">
        <f t="shared" ca="1" si="1"/>
        <v>Antioch New England Graduate School</v>
      </c>
      <c r="I57" s="3" t="str">
        <f t="shared" ca="1" si="2"/>
        <v>'Antioch New England Graduate School',</v>
      </c>
    </row>
    <row r="58" spans="1:9">
      <c r="A58" s="1" t="s">
        <v>56</v>
      </c>
      <c r="B58" s="3" t="str">
        <f ca="1">IFERROR(__xludf.DUMMYFUNCTION("SPLIT(A58,"","")"),"US")</f>
        <v>US</v>
      </c>
      <c r="C58" s="3" t="str">
        <f ca="1">IFERROR(__xludf.DUMMYFUNCTION("""COMPUTED_VALUE"""),"Antioch University")</f>
        <v>Antioch University</v>
      </c>
      <c r="D58" s="4" t="str">
        <f ca="1">IFERROR(__xludf.DUMMYFUNCTION("""COMPUTED_VALUE"""),"http://www.antioch.edu/")</f>
        <v>http://www.antioch.edu/</v>
      </c>
      <c r="G58" s="2" t="str">
        <f t="shared" ca="1" si="0"/>
        <v>Antioch University</v>
      </c>
      <c r="H58" s="5" t="str">
        <f t="shared" ca="1" si="1"/>
        <v>Antioch University</v>
      </c>
      <c r="I58" s="3" t="str">
        <f t="shared" ca="1" si="2"/>
        <v>'Antioch University',</v>
      </c>
    </row>
    <row r="59" spans="1:9">
      <c r="A59" s="1" t="s">
        <v>57</v>
      </c>
      <c r="B59" s="3" t="str">
        <f ca="1">IFERROR(__xludf.DUMMYFUNCTION("SPLIT(A59,"","")"),"US")</f>
        <v>US</v>
      </c>
      <c r="C59" s="3" t="str">
        <f ca="1">IFERROR(__xludf.DUMMYFUNCTION("""COMPUTED_VALUE"""),"Antioch University Los Angeles")</f>
        <v>Antioch University Los Angeles</v>
      </c>
      <c r="D59" s="4" t="str">
        <f ca="1">IFERROR(__xludf.DUMMYFUNCTION("""COMPUTED_VALUE"""),"http://www.antiochla.edu/")</f>
        <v>http://www.antiochla.edu/</v>
      </c>
      <c r="G59" s="2" t="str">
        <f t="shared" ca="1" si="0"/>
        <v>Antioch University Los Angeles</v>
      </c>
      <c r="H59" s="5" t="str">
        <f t="shared" ca="1" si="1"/>
        <v>Antioch University Los Angeles</v>
      </c>
      <c r="I59" s="3" t="str">
        <f t="shared" ca="1" si="2"/>
        <v>'Antioch University Los Angeles',</v>
      </c>
    </row>
    <row r="60" spans="1:9">
      <c r="A60" s="1" t="s">
        <v>58</v>
      </c>
      <c r="B60" s="3" t="str">
        <f ca="1">IFERROR(__xludf.DUMMYFUNCTION("SPLIT(A60,"","")"),"US")</f>
        <v>US</v>
      </c>
      <c r="C60" s="3" t="str">
        <f ca="1">IFERROR(__xludf.DUMMYFUNCTION("""COMPUTED_VALUE"""),"Antioch University Santa Barbara")</f>
        <v>Antioch University Santa Barbara</v>
      </c>
      <c r="D60" s="4" t="str">
        <f ca="1">IFERROR(__xludf.DUMMYFUNCTION("""COMPUTED_VALUE"""),"http://www.antiochsb.edu/")</f>
        <v>http://www.antiochsb.edu/</v>
      </c>
      <c r="G60" s="2" t="str">
        <f t="shared" ca="1" si="0"/>
        <v>Antioch University Santa Barbara</v>
      </c>
      <c r="H60" s="5" t="str">
        <f t="shared" ca="1" si="1"/>
        <v>Antioch University Santa Barbara</v>
      </c>
      <c r="I60" s="3" t="str">
        <f t="shared" ca="1" si="2"/>
        <v>'Antioch University Santa Barbara',</v>
      </c>
    </row>
    <row r="61" spans="1:9">
      <c r="A61" s="1" t="s">
        <v>59</v>
      </c>
      <c r="B61" s="3" t="str">
        <f ca="1">IFERROR(__xludf.DUMMYFUNCTION("SPLIT(A61,"","")"),"US")</f>
        <v>US</v>
      </c>
      <c r="C61" s="3" t="str">
        <f ca="1">IFERROR(__xludf.DUMMYFUNCTION("""COMPUTED_VALUE"""),"Antioch University Seattle")</f>
        <v>Antioch University Seattle</v>
      </c>
      <c r="D61" s="4" t="str">
        <f ca="1">IFERROR(__xludf.DUMMYFUNCTION("""COMPUTED_VALUE"""),"http://www.antiochsea.edu/")</f>
        <v>http://www.antiochsea.edu/</v>
      </c>
      <c r="G61" s="2" t="str">
        <f t="shared" ca="1" si="0"/>
        <v>Antioch University Seattle</v>
      </c>
      <c r="H61" s="5" t="str">
        <f t="shared" ca="1" si="1"/>
        <v>Antioch University Seattle</v>
      </c>
      <c r="I61" s="3" t="str">
        <f t="shared" ca="1" si="2"/>
        <v>'Antioch University Seattle',</v>
      </c>
    </row>
    <row r="62" spans="1:9">
      <c r="A62" s="1" t="s">
        <v>60</v>
      </c>
      <c r="B62" s="3" t="str">
        <f ca="1">IFERROR(__xludf.DUMMYFUNCTION("SPLIT(A62,"","")"),"US")</f>
        <v>US</v>
      </c>
      <c r="C62" s="3" t="str">
        <f ca="1">IFERROR(__xludf.DUMMYFUNCTION("""COMPUTED_VALUE"""),"Appalachian Bible College")</f>
        <v>Appalachian Bible College</v>
      </c>
      <c r="D62" s="4" t="str">
        <f ca="1">IFERROR(__xludf.DUMMYFUNCTION("""COMPUTED_VALUE"""),"http://www.appbibco.edu/")</f>
        <v>http://www.appbibco.edu/</v>
      </c>
      <c r="G62" s="2" t="str">
        <f t="shared" ca="1" si="0"/>
        <v>Appalachian Bible College</v>
      </c>
      <c r="H62" s="5" t="str">
        <f t="shared" ca="1" si="1"/>
        <v>Appalachian Bible College</v>
      </c>
      <c r="I62" s="3" t="str">
        <f t="shared" ca="1" si="2"/>
        <v>'Appalachian Bible College',</v>
      </c>
    </row>
    <row r="63" spans="1:9">
      <c r="A63" s="1" t="s">
        <v>61</v>
      </c>
      <c r="B63" s="3" t="str">
        <f ca="1">IFERROR(__xludf.DUMMYFUNCTION("SPLIT(A63,"","")"),"US")</f>
        <v>US</v>
      </c>
      <c r="C63" s="3" t="str">
        <f ca="1">IFERROR(__xludf.DUMMYFUNCTION("""COMPUTED_VALUE"""),"Appalachian State University")</f>
        <v>Appalachian State University</v>
      </c>
      <c r="D63" s="4" t="str">
        <f ca="1">IFERROR(__xludf.DUMMYFUNCTION("""COMPUTED_VALUE"""),"http://www.appstate.edu/")</f>
        <v>http://www.appstate.edu/</v>
      </c>
      <c r="G63" s="2" t="str">
        <f t="shared" ca="1" si="0"/>
        <v>Appalachian State University</v>
      </c>
      <c r="H63" s="5" t="str">
        <f t="shared" ca="1" si="1"/>
        <v>Appalachian State University</v>
      </c>
      <c r="I63" s="3" t="str">
        <f t="shared" ca="1" si="2"/>
        <v>'Appalachian State University',</v>
      </c>
    </row>
    <row r="64" spans="1:9">
      <c r="A64" s="1" t="s">
        <v>62</v>
      </c>
      <c r="B64" s="3" t="str">
        <f ca="1">IFERROR(__xludf.DUMMYFUNCTION("SPLIT(A64,"","")"),"US")</f>
        <v>US</v>
      </c>
      <c r="C64" s="3" t="str">
        <f ca="1">IFERROR(__xludf.DUMMYFUNCTION("""COMPUTED_VALUE"""),"Aquinas College")</f>
        <v>Aquinas College</v>
      </c>
      <c r="D64" s="4" t="str">
        <f ca="1">IFERROR(__xludf.DUMMYFUNCTION("""COMPUTED_VALUE"""),"http://www.aquinas.edu/")</f>
        <v>http://www.aquinas.edu/</v>
      </c>
      <c r="G64" s="2" t="str">
        <f t="shared" ca="1" si="0"/>
        <v>Aquinas College</v>
      </c>
      <c r="H64" s="5" t="str">
        <f t="shared" ca="1" si="1"/>
        <v>Aquinas College</v>
      </c>
      <c r="I64" s="3" t="str">
        <f t="shared" ca="1" si="2"/>
        <v>'Aquinas College',</v>
      </c>
    </row>
    <row r="65" spans="1:9">
      <c r="A65" s="1" t="s">
        <v>63</v>
      </c>
      <c r="B65" s="3" t="str">
        <f ca="1">IFERROR(__xludf.DUMMYFUNCTION("SPLIT(A65,"","")"),"US")</f>
        <v>US</v>
      </c>
      <c r="C65" s="3" t="str">
        <f ca="1">IFERROR(__xludf.DUMMYFUNCTION("""COMPUTED_VALUE"""),"Arcadia University")</f>
        <v>Arcadia University</v>
      </c>
      <c r="D65" s="4" t="str">
        <f ca="1">IFERROR(__xludf.DUMMYFUNCTION("""COMPUTED_VALUE"""),"http://www.arcadia.edu/")</f>
        <v>http://www.arcadia.edu/</v>
      </c>
      <c r="G65" s="2" t="str">
        <f t="shared" ca="1" si="0"/>
        <v>Arcadia University</v>
      </c>
      <c r="H65" s="5" t="str">
        <f t="shared" ca="1" si="1"/>
        <v>Arcadia University</v>
      </c>
      <c r="I65" s="3" t="str">
        <f t="shared" ca="1" si="2"/>
        <v>'Arcadia University',</v>
      </c>
    </row>
    <row r="66" spans="1:9">
      <c r="A66" s="1" t="s">
        <v>64</v>
      </c>
      <c r="B66" s="3" t="str">
        <f ca="1">IFERROR(__xludf.DUMMYFUNCTION("SPLIT(A66,"","")"),"US")</f>
        <v>US</v>
      </c>
      <c r="C66" s="3" t="str">
        <f ca="1">IFERROR(__xludf.DUMMYFUNCTION("""COMPUTED_VALUE"""),"Argosy University")</f>
        <v>Argosy University</v>
      </c>
      <c r="D66" s="4" t="str">
        <f ca="1">IFERROR(__xludf.DUMMYFUNCTION("""COMPUTED_VALUE"""),"http://www.argosy.edu/")</f>
        <v>http://www.argosy.edu/</v>
      </c>
      <c r="G66" s="2" t="str">
        <f t="shared" ca="1" si="0"/>
        <v>Argosy University</v>
      </c>
      <c r="H66" s="5" t="str">
        <f t="shared" ca="1" si="1"/>
        <v>Argosy University</v>
      </c>
      <c r="I66" s="3" t="str">
        <f t="shared" ca="1" si="2"/>
        <v>'Argosy University',</v>
      </c>
    </row>
    <row r="67" spans="1:9">
      <c r="A67" s="1" t="s">
        <v>65</v>
      </c>
      <c r="B67" s="3" t="str">
        <f ca="1">IFERROR(__xludf.DUMMYFUNCTION("SPLIT(A67,"","")"),"US")</f>
        <v>US</v>
      </c>
      <c r="C67" s="3" t="str">
        <f ca="1">IFERROR(__xludf.DUMMYFUNCTION("""COMPUTED_VALUE"""),"Argosy University - Hawaii")</f>
        <v>Argosy University - Hawaii</v>
      </c>
      <c r="D67" s="4" t="str">
        <f ca="1">IFERROR(__xludf.DUMMYFUNCTION("""COMPUTED_VALUE"""),"http://www.argosyu.edu/")</f>
        <v>http://www.argosyu.edu/</v>
      </c>
      <c r="G67" s="2" t="str">
        <f t="shared" ca="1" si="0"/>
        <v>Argosy University - Hawaii</v>
      </c>
      <c r="H67" s="5" t="str">
        <f t="shared" ca="1" si="1"/>
        <v>Argosy University - Hawaii</v>
      </c>
      <c r="I67" s="3" t="str">
        <f t="shared" ca="1" si="2"/>
        <v>'Argosy University - Hawaii',</v>
      </c>
    </row>
    <row r="68" spans="1:9">
      <c r="A68" s="1" t="s">
        <v>66</v>
      </c>
      <c r="B68" s="3" t="str">
        <f ca="1">IFERROR(__xludf.DUMMYFUNCTION("SPLIT(A68,"","")"),"US")</f>
        <v>US</v>
      </c>
      <c r="C68" s="3" t="str">
        <f ca="1">IFERROR(__xludf.DUMMYFUNCTION("""COMPUTED_VALUE"""),"Arizona Christian University")</f>
        <v>Arizona Christian University</v>
      </c>
      <c r="D68" s="4" t="str">
        <f ca="1">IFERROR(__xludf.DUMMYFUNCTION("""COMPUTED_VALUE"""),"http://www.arizonachristian.edu")</f>
        <v>http://www.arizonachristian.edu</v>
      </c>
      <c r="G68" s="2" t="str">
        <f t="shared" ca="1" si="0"/>
        <v>Arizona Christian University</v>
      </c>
      <c r="H68" s="5" t="str">
        <f t="shared" ca="1" si="1"/>
        <v>Arizona Christian University</v>
      </c>
      <c r="I68" s="3" t="str">
        <f t="shared" ca="1" si="2"/>
        <v>'Arizona Christian University',</v>
      </c>
    </row>
    <row r="69" spans="1:9">
      <c r="A69" s="1" t="s">
        <v>67</v>
      </c>
      <c r="B69" s="3" t="str">
        <f ca="1">IFERROR(__xludf.DUMMYFUNCTION("SPLIT(A69,"","")"),"US")</f>
        <v>US</v>
      </c>
      <c r="C69" s="3" t="str">
        <f ca="1">IFERROR(__xludf.DUMMYFUNCTION("""COMPUTED_VALUE"""),"Arizona State University")</f>
        <v>Arizona State University</v>
      </c>
      <c r="D69" s="4" t="str">
        <f ca="1">IFERROR(__xludf.DUMMYFUNCTION("""COMPUTED_VALUE"""),"http://www.asu.edu/")</f>
        <v>http://www.asu.edu/</v>
      </c>
      <c r="G69" s="2" t="str">
        <f t="shared" ca="1" si="0"/>
        <v>Arizona State University</v>
      </c>
      <c r="H69" s="5" t="str">
        <f t="shared" ca="1" si="1"/>
        <v>Arizona State University</v>
      </c>
      <c r="I69" s="3" t="str">
        <f t="shared" ca="1" si="2"/>
        <v>'Arizona State University',</v>
      </c>
    </row>
    <row r="70" spans="1:9">
      <c r="A70" s="1" t="s">
        <v>68</v>
      </c>
      <c r="B70" s="3" t="str">
        <f ca="1">IFERROR(__xludf.DUMMYFUNCTION("SPLIT(A70,"","")"),"US")</f>
        <v>US</v>
      </c>
      <c r="C70" s="3" t="str">
        <f ca="1">IFERROR(__xludf.DUMMYFUNCTION("""COMPUTED_VALUE"""),"""Arizona State University")</f>
        <v>"Arizona State University</v>
      </c>
      <c r="D70" s="3" t="str">
        <f ca="1">IFERROR(__xludf.DUMMYFUNCTION("""COMPUTED_VALUE""")," Downtown Phoenix Campus""")</f>
        <v xml:space="preserve"> Downtown Phoenix Campus"</v>
      </c>
      <c r="E70" s="4" t="str">
        <f ca="1">IFERROR(__xludf.DUMMYFUNCTION("""COMPUTED_VALUE"""),"https://campus.asu.edu/downtown")</f>
        <v>https://campus.asu.edu/downtown</v>
      </c>
      <c r="G70" s="2" t="str">
        <f t="shared" ca="1" si="0"/>
        <v>"Arizona State University</v>
      </c>
      <c r="H70" s="5" t="str">
        <f t="shared" ca="1" si="1"/>
        <v>Arizona State University</v>
      </c>
      <c r="I70" s="3" t="str">
        <f t="shared" ca="1" si="2"/>
        <v>'Arizona State University',</v>
      </c>
    </row>
    <row r="71" spans="1:9">
      <c r="A71" s="1" t="s">
        <v>69</v>
      </c>
      <c r="B71" s="3" t="str">
        <f ca="1">IFERROR(__xludf.DUMMYFUNCTION("SPLIT(A71,"","")"),"US")</f>
        <v>US</v>
      </c>
      <c r="C71" s="3" t="str">
        <f ca="1">IFERROR(__xludf.DUMMYFUNCTION("""COMPUTED_VALUE"""),"""Arizona State University")</f>
        <v>"Arizona State University</v>
      </c>
      <c r="D71" s="3" t="str">
        <f ca="1">IFERROR(__xludf.DUMMYFUNCTION("""COMPUTED_VALUE""")," Polytechnic Campus""")</f>
        <v xml:space="preserve"> Polytechnic Campus"</v>
      </c>
      <c r="E71" s="4" t="str">
        <f ca="1">IFERROR(__xludf.DUMMYFUNCTION("""COMPUTED_VALUE"""),"https://campus.asu.edu/polytechnic")</f>
        <v>https://campus.asu.edu/polytechnic</v>
      </c>
      <c r="G71" s="2" t="str">
        <f t="shared" ca="1" si="0"/>
        <v>"Arizona State University</v>
      </c>
      <c r="H71" s="5" t="str">
        <f t="shared" ca="1" si="1"/>
        <v>Arizona State University</v>
      </c>
      <c r="I71" s="3" t="str">
        <f t="shared" ca="1" si="2"/>
        <v>'Arizona State University',</v>
      </c>
    </row>
    <row r="72" spans="1:9">
      <c r="A72" s="1" t="s">
        <v>70</v>
      </c>
      <c r="B72" s="3" t="str">
        <f ca="1">IFERROR(__xludf.DUMMYFUNCTION("SPLIT(A72,"","")"),"US")</f>
        <v>US</v>
      </c>
      <c r="C72" s="3" t="str">
        <f ca="1">IFERROR(__xludf.DUMMYFUNCTION("""COMPUTED_VALUE"""),"""Arizona State University")</f>
        <v>"Arizona State University</v>
      </c>
      <c r="D72" s="3" t="str">
        <f ca="1">IFERROR(__xludf.DUMMYFUNCTION("""COMPUTED_VALUE""")," Tempe Campus""")</f>
        <v xml:space="preserve"> Tempe Campus"</v>
      </c>
      <c r="E72" s="4" t="str">
        <f ca="1">IFERROR(__xludf.DUMMYFUNCTION("""COMPUTED_VALUE"""),"https://campus.asu.edu/tempe")</f>
        <v>https://campus.asu.edu/tempe</v>
      </c>
      <c r="G72" s="2" t="str">
        <f t="shared" ca="1" si="0"/>
        <v>"Arizona State University</v>
      </c>
      <c r="H72" s="5" t="str">
        <f t="shared" ca="1" si="1"/>
        <v>Arizona State University</v>
      </c>
      <c r="I72" s="3" t="str">
        <f t="shared" ca="1" si="2"/>
        <v>'Arizona State University',</v>
      </c>
    </row>
    <row r="73" spans="1:9">
      <c r="A73" s="1" t="s">
        <v>71</v>
      </c>
      <c r="B73" s="3" t="str">
        <f ca="1">IFERROR(__xludf.DUMMYFUNCTION("SPLIT(A73,"","")"),"US")</f>
        <v>US</v>
      </c>
      <c r="C73" s="3" t="str">
        <f ca="1">IFERROR(__xludf.DUMMYFUNCTION("""COMPUTED_VALUE"""),"""Arizona State University")</f>
        <v>"Arizona State University</v>
      </c>
      <c r="D73" s="3" t="str">
        <f ca="1">IFERROR(__xludf.DUMMYFUNCTION("""COMPUTED_VALUE""")," West Campus""")</f>
        <v xml:space="preserve"> West Campus"</v>
      </c>
      <c r="E73" s="4" t="str">
        <f ca="1">IFERROR(__xludf.DUMMYFUNCTION("""COMPUTED_VALUE"""),"https://campus.asu.edu/west")</f>
        <v>https://campus.asu.edu/west</v>
      </c>
      <c r="G73" s="2" t="str">
        <f t="shared" ca="1" si="0"/>
        <v>"Arizona State University</v>
      </c>
      <c r="H73" s="5" t="str">
        <f t="shared" ca="1" si="1"/>
        <v>Arizona State University</v>
      </c>
      <c r="I73" s="3" t="str">
        <f t="shared" ca="1" si="2"/>
        <v>'Arizona State University',</v>
      </c>
    </row>
    <row r="74" spans="1:9">
      <c r="A74" s="1" t="s">
        <v>72</v>
      </c>
      <c r="B74" s="3" t="str">
        <f ca="1">IFERROR(__xludf.DUMMYFUNCTION("SPLIT(A74,"","")"),"US")</f>
        <v>US</v>
      </c>
      <c r="C74" s="3" t="str">
        <f ca="1">IFERROR(__xludf.DUMMYFUNCTION("""COMPUTED_VALUE"""),"Arkansas State University")</f>
        <v>Arkansas State University</v>
      </c>
      <c r="D74" s="4" t="str">
        <f ca="1">IFERROR(__xludf.DUMMYFUNCTION("""COMPUTED_VALUE"""),"http://www.astate.edu/")</f>
        <v>http://www.astate.edu/</v>
      </c>
      <c r="G74" s="2" t="str">
        <f t="shared" ca="1" si="0"/>
        <v>Arkansas State University</v>
      </c>
      <c r="H74" s="5" t="str">
        <f t="shared" ca="1" si="1"/>
        <v>Arkansas State University</v>
      </c>
      <c r="I74" s="3" t="str">
        <f t="shared" ca="1" si="2"/>
        <v>'Arkansas State University',</v>
      </c>
    </row>
    <row r="75" spans="1:9">
      <c r="A75" s="1" t="s">
        <v>73</v>
      </c>
      <c r="B75" s="3" t="str">
        <f ca="1">IFERROR(__xludf.DUMMYFUNCTION("SPLIT(A75,"","")"),"US")</f>
        <v>US</v>
      </c>
      <c r="C75" s="3" t="str">
        <f ca="1">IFERROR(__xludf.DUMMYFUNCTION("""COMPUTED_VALUE"""),"""Arkansas State University")</f>
        <v>"Arkansas State University</v>
      </c>
      <c r="D75" s="3" t="str">
        <f ca="1">IFERROR(__xludf.DUMMYFUNCTION("""COMPUTED_VALUE""")," Beebe""")</f>
        <v xml:space="preserve"> Beebe"</v>
      </c>
      <c r="E75" s="4" t="str">
        <f ca="1">IFERROR(__xludf.DUMMYFUNCTION("""COMPUTED_VALUE"""),"http://www.asub.edu/")</f>
        <v>http://www.asub.edu/</v>
      </c>
      <c r="G75" s="2" t="str">
        <f t="shared" ca="1" si="0"/>
        <v>"Arkansas State University</v>
      </c>
      <c r="H75" s="5" t="str">
        <f t="shared" ca="1" si="1"/>
        <v>Arkansas State University</v>
      </c>
      <c r="I75" s="3" t="str">
        <f t="shared" ca="1" si="2"/>
        <v>'Arkansas State University',</v>
      </c>
    </row>
    <row r="76" spans="1:9">
      <c r="A76" s="1" t="s">
        <v>74</v>
      </c>
      <c r="B76" s="3" t="str">
        <f ca="1">IFERROR(__xludf.DUMMYFUNCTION("SPLIT(A76,"","")"),"US")</f>
        <v>US</v>
      </c>
      <c r="C76" s="3" t="str">
        <f ca="1">IFERROR(__xludf.DUMMYFUNCTION("""COMPUTED_VALUE"""),"""Arkansas State University")</f>
        <v>"Arkansas State University</v>
      </c>
      <c r="D76" s="3" t="str">
        <f ca="1">IFERROR(__xludf.DUMMYFUNCTION("""COMPUTED_VALUE""")," Mountain Home""")</f>
        <v xml:space="preserve"> Mountain Home"</v>
      </c>
      <c r="E76" s="4" t="str">
        <f ca="1">IFERROR(__xludf.DUMMYFUNCTION("""COMPUTED_VALUE"""),"http://www.asumh.edu/")</f>
        <v>http://www.asumh.edu/</v>
      </c>
      <c r="G76" s="2" t="str">
        <f t="shared" ca="1" si="0"/>
        <v>"Arkansas State University</v>
      </c>
      <c r="H76" s="5" t="str">
        <f t="shared" ca="1" si="1"/>
        <v>Arkansas State University</v>
      </c>
      <c r="I76" s="3" t="str">
        <f t="shared" ca="1" si="2"/>
        <v>'Arkansas State University',</v>
      </c>
    </row>
    <row r="77" spans="1:9">
      <c r="A77" s="1" t="s">
        <v>75</v>
      </c>
      <c r="B77" s="3" t="str">
        <f ca="1">IFERROR(__xludf.DUMMYFUNCTION("SPLIT(A77,"","")"),"US")</f>
        <v>US</v>
      </c>
      <c r="C77" s="3" t="str">
        <f ca="1">IFERROR(__xludf.DUMMYFUNCTION("""COMPUTED_VALUE"""),"""Arkansas State University")</f>
        <v>"Arkansas State University</v>
      </c>
      <c r="D77" s="3" t="str">
        <f ca="1">IFERROR(__xludf.DUMMYFUNCTION("""COMPUTED_VALUE""")," Newport""")</f>
        <v xml:space="preserve"> Newport"</v>
      </c>
      <c r="E77" s="4" t="str">
        <f ca="1">IFERROR(__xludf.DUMMYFUNCTION("""COMPUTED_VALUE"""),"http://www.asun.edu/")</f>
        <v>http://www.asun.edu/</v>
      </c>
      <c r="G77" s="2" t="str">
        <f t="shared" ca="1" si="0"/>
        <v>"Arkansas State University</v>
      </c>
      <c r="H77" s="5" t="str">
        <f t="shared" ca="1" si="1"/>
        <v>Arkansas State University</v>
      </c>
      <c r="I77" s="3" t="str">
        <f t="shared" ca="1" si="2"/>
        <v>'Arkansas State University',</v>
      </c>
    </row>
    <row r="78" spans="1:9">
      <c r="A78" s="1" t="s">
        <v>76</v>
      </c>
      <c r="B78" s="3" t="str">
        <f ca="1">IFERROR(__xludf.DUMMYFUNCTION("SPLIT(A78,"","")"),"US")</f>
        <v>US</v>
      </c>
      <c r="C78" s="3" t="str">
        <f ca="1">IFERROR(__xludf.DUMMYFUNCTION("""COMPUTED_VALUE"""),"Arkansas Tech University")</f>
        <v>Arkansas Tech University</v>
      </c>
      <c r="D78" s="4" t="str">
        <f ca="1">IFERROR(__xludf.DUMMYFUNCTION("""COMPUTED_VALUE"""),"http://www.atu.edu/")</f>
        <v>http://www.atu.edu/</v>
      </c>
      <c r="G78" s="2" t="str">
        <f t="shared" ca="1" si="0"/>
        <v>Arkansas Tech University</v>
      </c>
      <c r="H78" s="5" t="str">
        <f t="shared" ca="1" si="1"/>
        <v>Arkansas Tech University</v>
      </c>
      <c r="I78" s="3" t="str">
        <f t="shared" ca="1" si="2"/>
        <v>'Arkansas Tech University',</v>
      </c>
    </row>
    <row r="79" spans="1:9">
      <c r="A79" s="1" t="s">
        <v>77</v>
      </c>
      <c r="B79" s="3" t="str">
        <f ca="1">IFERROR(__xludf.DUMMYFUNCTION("SPLIT(A79,"","")"),"US")</f>
        <v>US</v>
      </c>
      <c r="C79" s="3" t="str">
        <f ca="1">IFERROR(__xludf.DUMMYFUNCTION("""COMPUTED_VALUE"""),"Arlington Baptist College")</f>
        <v>Arlington Baptist College</v>
      </c>
      <c r="D79" s="4" t="str">
        <f ca="1">IFERROR(__xludf.DUMMYFUNCTION("""COMPUTED_VALUE"""),"http://www.abconline.edu/")</f>
        <v>http://www.abconline.edu/</v>
      </c>
      <c r="G79" s="2" t="str">
        <f t="shared" ca="1" si="0"/>
        <v>Arlington Baptist College</v>
      </c>
      <c r="H79" s="5" t="str">
        <f t="shared" ca="1" si="1"/>
        <v>Arlington Baptist College</v>
      </c>
      <c r="I79" s="3" t="str">
        <f t="shared" ca="1" si="2"/>
        <v>'Arlington Baptist College',</v>
      </c>
    </row>
    <row r="80" spans="1:9">
      <c r="A80" s="1" t="s">
        <v>78</v>
      </c>
      <c r="B80" s="3" t="str">
        <f ca="1">IFERROR(__xludf.DUMMYFUNCTION("SPLIT(A80,"","")"),"US")</f>
        <v>US</v>
      </c>
      <c r="C80" s="3" t="str">
        <f ca="1">IFERROR(__xludf.DUMMYFUNCTION("""COMPUTED_VALUE"""),"Armstrong Atlantic State University")</f>
        <v>Armstrong Atlantic State University</v>
      </c>
      <c r="D80" s="4" t="str">
        <f ca="1">IFERROR(__xludf.DUMMYFUNCTION("""COMPUTED_VALUE"""),"http://www.armstrong.edu/")</f>
        <v>http://www.armstrong.edu/</v>
      </c>
      <c r="G80" s="2" t="str">
        <f t="shared" ca="1" si="0"/>
        <v>Armstrong Atlantic State University</v>
      </c>
      <c r="H80" s="5" t="str">
        <f t="shared" ca="1" si="1"/>
        <v>Armstrong Atlantic State University</v>
      </c>
      <c r="I80" s="3" t="str">
        <f t="shared" ca="1" si="2"/>
        <v>'Armstrong Atlantic State University',</v>
      </c>
    </row>
    <row r="81" spans="1:9">
      <c r="A81" s="1" t="s">
        <v>79</v>
      </c>
      <c r="B81" s="3" t="str">
        <f ca="1">IFERROR(__xludf.DUMMYFUNCTION("SPLIT(A81,"","")"),"US")</f>
        <v>US</v>
      </c>
      <c r="C81" s="3" t="str">
        <f ca="1">IFERROR(__xludf.DUMMYFUNCTION("""COMPUTED_VALUE"""),"Armstrong University")</f>
        <v>Armstrong University</v>
      </c>
      <c r="D81" s="4" t="str">
        <f ca="1">IFERROR(__xludf.DUMMYFUNCTION("""COMPUTED_VALUE"""),"http://www.armstrong-u.edu/")</f>
        <v>http://www.armstrong-u.edu/</v>
      </c>
      <c r="G81" s="2" t="str">
        <f t="shared" ca="1" si="0"/>
        <v>Armstrong University</v>
      </c>
      <c r="H81" s="5" t="str">
        <f t="shared" ca="1" si="1"/>
        <v>Armstrong University</v>
      </c>
      <c r="I81" s="3" t="str">
        <f t="shared" ca="1" si="2"/>
        <v>'Armstrong University',</v>
      </c>
    </row>
    <row r="82" spans="1:9">
      <c r="A82" s="1" t="s">
        <v>80</v>
      </c>
      <c r="B82" s="3" t="str">
        <f ca="1">IFERROR(__xludf.DUMMYFUNCTION("SPLIT(A82,"","")"),"US")</f>
        <v>US</v>
      </c>
      <c r="C82" s="3" t="str">
        <f ca="1">IFERROR(__xludf.DUMMYFUNCTION("""COMPUTED_VALUE"""),"Art Academy of Cincinnati")</f>
        <v>Art Academy of Cincinnati</v>
      </c>
      <c r="D82" s="4" t="str">
        <f ca="1">IFERROR(__xludf.DUMMYFUNCTION("""COMPUTED_VALUE"""),"http://www.artacademy.edu/")</f>
        <v>http://www.artacademy.edu/</v>
      </c>
      <c r="G82" s="2" t="str">
        <f t="shared" ca="1" si="0"/>
        <v>Art Academy of Cincinnati</v>
      </c>
      <c r="H82" s="5" t="str">
        <f t="shared" ca="1" si="1"/>
        <v>Art Academy of Cincinnati</v>
      </c>
      <c r="I82" s="3" t="str">
        <f t="shared" ca="1" si="2"/>
        <v>'Art Academy of Cincinnati',</v>
      </c>
    </row>
    <row r="83" spans="1:9">
      <c r="A83" s="1" t="s">
        <v>81</v>
      </c>
      <c r="B83" s="3" t="str">
        <f ca="1">IFERROR(__xludf.DUMMYFUNCTION("SPLIT(A83,"","")"),"US")</f>
        <v>US</v>
      </c>
      <c r="C83" s="3" t="str">
        <f ca="1">IFERROR(__xludf.DUMMYFUNCTION("""COMPUTED_VALUE"""),"Art Center College of Design")</f>
        <v>Art Center College of Design</v>
      </c>
      <c r="D83" s="4" t="str">
        <f ca="1">IFERROR(__xludf.DUMMYFUNCTION("""COMPUTED_VALUE"""),"http://www.artcenter.edu/")</f>
        <v>http://www.artcenter.edu/</v>
      </c>
      <c r="G83" s="2" t="str">
        <f t="shared" ca="1" si="0"/>
        <v>Art Center College of Design</v>
      </c>
      <c r="H83" s="5" t="str">
        <f t="shared" ca="1" si="1"/>
        <v>Art Center College of Design</v>
      </c>
      <c r="I83" s="3" t="str">
        <f t="shared" ca="1" si="2"/>
        <v>'Art Center College of Design',</v>
      </c>
    </row>
    <row r="84" spans="1:9">
      <c r="A84" s="1" t="s">
        <v>82</v>
      </c>
      <c r="B84" s="3" t="str">
        <f ca="1">IFERROR(__xludf.DUMMYFUNCTION("SPLIT(A84,"","")"),"US")</f>
        <v>US</v>
      </c>
      <c r="C84" s="3" t="str">
        <f ca="1">IFERROR(__xludf.DUMMYFUNCTION("""COMPUTED_VALUE"""),"Arthur D. Little Management Education Institute")</f>
        <v>Arthur D. Little Management Education Institute</v>
      </c>
      <c r="D84" s="4" t="str">
        <f ca="1">IFERROR(__xludf.DUMMYFUNCTION("""COMPUTED_VALUE"""),"http://www.adlsom.edu/")</f>
        <v>http://www.adlsom.edu/</v>
      </c>
      <c r="G84" s="2" t="str">
        <f t="shared" ca="1" si="0"/>
        <v>Arthur D. Little Management Education Institute</v>
      </c>
      <c r="H84" s="5" t="str">
        <f t="shared" ca="1" si="1"/>
        <v>Arthur D. Little Management Education Institute</v>
      </c>
      <c r="I84" s="3" t="str">
        <f t="shared" ca="1" si="2"/>
        <v>'Arthur D. Little Management Education Institute',</v>
      </c>
    </row>
    <row r="85" spans="1:9">
      <c r="A85" s="1" t="s">
        <v>83</v>
      </c>
      <c r="B85" s="3" t="str">
        <f ca="1">IFERROR(__xludf.DUMMYFUNCTION("SPLIT(A85,"","")"),"US")</f>
        <v>US</v>
      </c>
      <c r="C85" s="3" t="str">
        <f ca="1">IFERROR(__xludf.DUMMYFUNCTION("""COMPUTED_VALUE"""),"Art Institute of Charlotte")</f>
        <v>Art Institute of Charlotte</v>
      </c>
      <c r="D85" s="4" t="str">
        <f ca="1">IFERROR(__xludf.DUMMYFUNCTION("""COMPUTED_VALUE"""),"http://www.aich.artinstitutes.edu/")</f>
        <v>http://www.aich.artinstitutes.edu/</v>
      </c>
      <c r="G85" s="2" t="str">
        <f t="shared" ca="1" si="0"/>
        <v>Art Institute of Charlotte</v>
      </c>
      <c r="H85" s="5" t="str">
        <f t="shared" ca="1" si="1"/>
        <v>Art Institute of Charlotte</v>
      </c>
      <c r="I85" s="3" t="str">
        <f t="shared" ca="1" si="2"/>
        <v>'Art Institute of Charlotte',</v>
      </c>
    </row>
    <row r="86" spans="1:9">
      <c r="A86" s="1" t="s">
        <v>84</v>
      </c>
      <c r="B86" s="3" t="str">
        <f ca="1">IFERROR(__xludf.DUMMYFUNCTION("SPLIT(A86,"","")"),"US")</f>
        <v>US</v>
      </c>
      <c r="C86" s="3" t="str">
        <f ca="1">IFERROR(__xludf.DUMMYFUNCTION("""COMPUTED_VALUE"""),"Art Institute of Southern California")</f>
        <v>Art Institute of Southern California</v>
      </c>
      <c r="D86" s="4" t="str">
        <f ca="1">IFERROR(__xludf.DUMMYFUNCTION("""COMPUTED_VALUE"""),"http://www.aisc.edu/")</f>
        <v>http://www.aisc.edu/</v>
      </c>
      <c r="G86" s="2" t="str">
        <f t="shared" ca="1" si="0"/>
        <v>Art Institute of Southern California</v>
      </c>
      <c r="H86" s="5" t="str">
        <f t="shared" ca="1" si="1"/>
        <v>Art Institute of Southern California</v>
      </c>
      <c r="I86" s="3" t="str">
        <f t="shared" ca="1" si="2"/>
        <v>'Art Institute of Southern California',</v>
      </c>
    </row>
    <row r="87" spans="1:9">
      <c r="A87" s="1" t="s">
        <v>85</v>
      </c>
      <c r="B87" s="3" t="str">
        <f ca="1">IFERROR(__xludf.DUMMYFUNCTION("SPLIT(A87,"","")"),"US")</f>
        <v>US</v>
      </c>
      <c r="C87" s="3" t="str">
        <f ca="1">IFERROR(__xludf.DUMMYFUNCTION("""COMPUTED_VALUE"""),"Asbury College")</f>
        <v>Asbury College</v>
      </c>
      <c r="D87" s="4" t="str">
        <f ca="1">IFERROR(__xludf.DUMMYFUNCTION("""COMPUTED_VALUE"""),"http://www.asbury.edu/")</f>
        <v>http://www.asbury.edu/</v>
      </c>
      <c r="G87" s="2" t="str">
        <f t="shared" ca="1" si="0"/>
        <v>Asbury College</v>
      </c>
      <c r="H87" s="5" t="str">
        <f t="shared" ca="1" si="1"/>
        <v>Asbury College</v>
      </c>
      <c r="I87" s="3" t="str">
        <f t="shared" ca="1" si="2"/>
        <v>'Asbury College',</v>
      </c>
    </row>
    <row r="88" spans="1:9">
      <c r="A88" s="1" t="s">
        <v>86</v>
      </c>
      <c r="B88" s="3" t="str">
        <f ca="1">IFERROR(__xludf.DUMMYFUNCTION("SPLIT(A88,"","")"),"US")</f>
        <v>US</v>
      </c>
      <c r="C88" s="3" t="str">
        <f ca="1">IFERROR(__xludf.DUMMYFUNCTION("""COMPUTED_VALUE"""),"Ashland University")</f>
        <v>Ashland University</v>
      </c>
      <c r="D88" s="4" t="str">
        <f ca="1">IFERROR(__xludf.DUMMYFUNCTION("""COMPUTED_VALUE"""),"http://www.ashland.edu/")</f>
        <v>http://www.ashland.edu/</v>
      </c>
      <c r="G88" s="2" t="str">
        <f t="shared" ca="1" si="0"/>
        <v>Ashland University</v>
      </c>
      <c r="H88" s="5" t="str">
        <f t="shared" ca="1" si="1"/>
        <v>Ashland University</v>
      </c>
      <c r="I88" s="3" t="str">
        <f t="shared" ca="1" si="2"/>
        <v>'Ashland University',</v>
      </c>
    </row>
    <row r="89" spans="1:9">
      <c r="A89" s="1" t="s">
        <v>87</v>
      </c>
      <c r="B89" s="3" t="str">
        <f ca="1">IFERROR(__xludf.DUMMYFUNCTION("SPLIT(A89,"","")"),"US")</f>
        <v>US</v>
      </c>
      <c r="C89" s="3" t="str">
        <f ca="1">IFERROR(__xludf.DUMMYFUNCTION("""COMPUTED_VALUE"""),"Assumption College")</f>
        <v>Assumption College</v>
      </c>
      <c r="D89" s="4" t="str">
        <f ca="1">IFERROR(__xludf.DUMMYFUNCTION("""COMPUTED_VALUE"""),"http://www.assumption.edu/")</f>
        <v>http://www.assumption.edu/</v>
      </c>
      <c r="G89" s="2" t="str">
        <f t="shared" ca="1" si="0"/>
        <v>Assumption College</v>
      </c>
      <c r="H89" s="5" t="str">
        <f t="shared" ca="1" si="1"/>
        <v>Assumption College</v>
      </c>
      <c r="I89" s="3" t="str">
        <f t="shared" ca="1" si="2"/>
        <v>'Assumption College',</v>
      </c>
    </row>
    <row r="90" spans="1:9">
      <c r="A90" s="1" t="s">
        <v>88</v>
      </c>
      <c r="B90" s="3" t="str">
        <f ca="1">IFERROR(__xludf.DUMMYFUNCTION("SPLIT(A90,"","")"),"US")</f>
        <v>US</v>
      </c>
      <c r="C90" s="3" t="str">
        <f ca="1">IFERROR(__xludf.DUMMYFUNCTION("""COMPUTED_VALUE"""),"Athenaeum of Ohio")</f>
        <v>Athenaeum of Ohio</v>
      </c>
      <c r="D90" s="4" t="str">
        <f ca="1">IFERROR(__xludf.DUMMYFUNCTION("""COMPUTED_VALUE"""),"http://www.mtsm.org/")</f>
        <v>http://www.mtsm.org/</v>
      </c>
      <c r="G90" s="2" t="str">
        <f t="shared" ca="1" si="0"/>
        <v>Athenaeum of Ohio</v>
      </c>
      <c r="H90" s="5" t="str">
        <f t="shared" ca="1" si="1"/>
        <v>Athenaeum of Ohio</v>
      </c>
      <c r="I90" s="3" t="str">
        <f t="shared" ca="1" si="2"/>
        <v>'Athenaeum of Ohio',</v>
      </c>
    </row>
    <row r="91" spans="1:9">
      <c r="A91" s="1" t="s">
        <v>89</v>
      </c>
      <c r="B91" s="3" t="str">
        <f ca="1">IFERROR(__xludf.DUMMYFUNCTION("SPLIT(A91,"","")"),"US")</f>
        <v>US</v>
      </c>
      <c r="C91" s="3" t="str">
        <f ca="1">IFERROR(__xludf.DUMMYFUNCTION("""COMPUTED_VALUE"""),"Athens State College")</f>
        <v>Athens State College</v>
      </c>
      <c r="D91" s="4" t="str">
        <f ca="1">IFERROR(__xludf.DUMMYFUNCTION("""COMPUTED_VALUE"""),"http://www.athens.edu/")</f>
        <v>http://www.athens.edu/</v>
      </c>
      <c r="G91" s="2" t="str">
        <f t="shared" ca="1" si="0"/>
        <v>Athens State College</v>
      </c>
      <c r="H91" s="5" t="str">
        <f t="shared" ca="1" si="1"/>
        <v>Athens State College</v>
      </c>
      <c r="I91" s="3" t="str">
        <f t="shared" ca="1" si="2"/>
        <v>'Athens State College',</v>
      </c>
    </row>
    <row r="92" spans="1:9">
      <c r="A92" s="1" t="s">
        <v>90</v>
      </c>
      <c r="B92" s="3" t="str">
        <f ca="1">IFERROR(__xludf.DUMMYFUNCTION("SPLIT(A92,"","")"),"US")</f>
        <v>US</v>
      </c>
      <c r="C92" s="3" t="str">
        <f ca="1">IFERROR(__xludf.DUMMYFUNCTION("""COMPUTED_VALUE"""),"Atlanta Christian College")</f>
        <v>Atlanta Christian College</v>
      </c>
      <c r="D92" s="4" t="str">
        <f ca="1">IFERROR(__xludf.DUMMYFUNCTION("""COMPUTED_VALUE"""),"http://www.acc.edu/")</f>
        <v>http://www.acc.edu/</v>
      </c>
      <c r="G92" s="2" t="str">
        <f t="shared" ca="1" si="0"/>
        <v>Atlanta Christian College</v>
      </c>
      <c r="H92" s="5" t="str">
        <f t="shared" ca="1" si="1"/>
        <v>Atlanta Christian College</v>
      </c>
      <c r="I92" s="3" t="str">
        <f t="shared" ca="1" si="2"/>
        <v>'Atlanta Christian College',</v>
      </c>
    </row>
    <row r="93" spans="1:9">
      <c r="A93" s="1" t="s">
        <v>91</v>
      </c>
      <c r="B93" s="3" t="str">
        <f ca="1">IFERROR(__xludf.DUMMYFUNCTION("SPLIT(A93,"","")"),"US")</f>
        <v>US</v>
      </c>
      <c r="C93" s="3" t="str">
        <f ca="1">IFERROR(__xludf.DUMMYFUNCTION("""COMPUTED_VALUE"""),"Atlanta College of Art")</f>
        <v>Atlanta College of Art</v>
      </c>
      <c r="D93" s="4" t="str">
        <f ca="1">IFERROR(__xludf.DUMMYFUNCTION("""COMPUTED_VALUE"""),"http://www.aca.edu/")</f>
        <v>http://www.aca.edu/</v>
      </c>
      <c r="G93" s="2" t="str">
        <f t="shared" ca="1" si="0"/>
        <v>Atlanta College of Art</v>
      </c>
      <c r="H93" s="5" t="str">
        <f t="shared" ca="1" si="1"/>
        <v>Atlanta College of Art</v>
      </c>
      <c r="I93" s="3" t="str">
        <f t="shared" ca="1" si="2"/>
        <v>'Atlanta College of Art',</v>
      </c>
    </row>
    <row r="94" spans="1:9">
      <c r="A94" s="1" t="s">
        <v>92</v>
      </c>
      <c r="B94" s="3" t="str">
        <f ca="1">IFERROR(__xludf.DUMMYFUNCTION("SPLIT(A94,"","")"),"US")</f>
        <v>US</v>
      </c>
      <c r="C94" s="3" t="str">
        <f ca="1">IFERROR(__xludf.DUMMYFUNCTION("""COMPUTED_VALUE"""),"Atlantic International University")</f>
        <v>Atlantic International University</v>
      </c>
      <c r="D94" s="4" t="str">
        <f ca="1">IFERROR(__xludf.DUMMYFUNCTION("""COMPUTED_VALUE"""),"http://www.aiu.edu/")</f>
        <v>http://www.aiu.edu/</v>
      </c>
      <c r="G94" s="2" t="str">
        <f t="shared" ca="1" si="0"/>
        <v>Atlantic International University</v>
      </c>
      <c r="H94" s="5" t="str">
        <f t="shared" ca="1" si="1"/>
        <v>Atlantic International University</v>
      </c>
      <c r="I94" s="3" t="str">
        <f t="shared" ca="1" si="2"/>
        <v>'Atlantic International University',</v>
      </c>
    </row>
    <row r="95" spans="1:9">
      <c r="A95" s="1" t="s">
        <v>93</v>
      </c>
      <c r="B95" s="3" t="str">
        <f ca="1">IFERROR(__xludf.DUMMYFUNCTION("SPLIT(A95,"","")"),"US")</f>
        <v>US</v>
      </c>
      <c r="C95" s="3" t="str">
        <f ca="1">IFERROR(__xludf.DUMMYFUNCTION("""COMPUTED_VALUE"""),"Atlantic Union College")</f>
        <v>Atlantic Union College</v>
      </c>
      <c r="D95" s="4" t="str">
        <f ca="1">IFERROR(__xludf.DUMMYFUNCTION("""COMPUTED_VALUE"""),"http://www.atlanticuc.edu/")</f>
        <v>http://www.atlanticuc.edu/</v>
      </c>
      <c r="G95" s="2" t="str">
        <f t="shared" ca="1" si="0"/>
        <v>Atlantic Union College</v>
      </c>
      <c r="H95" s="5" t="str">
        <f t="shared" ca="1" si="1"/>
        <v>Atlantic Union College</v>
      </c>
      <c r="I95" s="3" t="str">
        <f t="shared" ca="1" si="2"/>
        <v>'Atlantic Union College',</v>
      </c>
    </row>
    <row r="96" spans="1:9">
      <c r="A96" s="1" t="s">
        <v>94</v>
      </c>
      <c r="B96" s="3" t="str">
        <f ca="1">IFERROR(__xludf.DUMMYFUNCTION("SPLIT(A96,"","")"),"US")</f>
        <v>US</v>
      </c>
      <c r="C96" s="3" t="str">
        <f ca="1">IFERROR(__xludf.DUMMYFUNCTION("""COMPUTED_VALUE"""),"Atlantic University")</f>
        <v>Atlantic University</v>
      </c>
      <c r="D96" s="4" t="str">
        <f ca="1">IFERROR(__xludf.DUMMYFUNCTION("""COMPUTED_VALUE"""),"http://www.atlanticuniv.edu/")</f>
        <v>http://www.atlanticuniv.edu/</v>
      </c>
      <c r="G96" s="2" t="str">
        <f t="shared" ca="1" si="0"/>
        <v>Atlantic University</v>
      </c>
      <c r="H96" s="5" t="str">
        <f t="shared" ca="1" si="1"/>
        <v>Atlantic University</v>
      </c>
      <c r="I96" s="3" t="str">
        <f t="shared" ca="1" si="2"/>
        <v>'Atlantic University',</v>
      </c>
    </row>
    <row r="97" spans="1:9">
      <c r="A97" s="1" t="s">
        <v>95</v>
      </c>
      <c r="B97" s="3" t="str">
        <f ca="1">IFERROR(__xludf.DUMMYFUNCTION("SPLIT(A97,"","")"),"US")</f>
        <v>US</v>
      </c>
      <c r="C97" s="3" t="str">
        <f ca="1">IFERROR(__xludf.DUMMYFUNCTION("""COMPUTED_VALUE"""),"Auburn University")</f>
        <v>Auburn University</v>
      </c>
      <c r="D97" s="4" t="str">
        <f ca="1">IFERROR(__xludf.DUMMYFUNCTION("""COMPUTED_VALUE"""),"http://www.auburn.edu/")</f>
        <v>http://www.auburn.edu/</v>
      </c>
      <c r="G97" s="2" t="str">
        <f t="shared" ca="1" si="0"/>
        <v>Auburn University</v>
      </c>
      <c r="H97" s="5" t="str">
        <f t="shared" ca="1" si="1"/>
        <v>Auburn University</v>
      </c>
      <c r="I97" s="3" t="str">
        <f t="shared" ca="1" si="2"/>
        <v>'Auburn University',</v>
      </c>
    </row>
    <row r="98" spans="1:9">
      <c r="A98" s="1" t="s">
        <v>96</v>
      </c>
      <c r="B98" s="3" t="str">
        <f ca="1">IFERROR(__xludf.DUMMYFUNCTION("SPLIT(A98,"","")"),"US")</f>
        <v>US</v>
      </c>
      <c r="C98" s="3" t="str">
        <f ca="1">IFERROR(__xludf.DUMMYFUNCTION("""COMPUTED_VALUE"""),"Auburn University at Montgomery")</f>
        <v>Auburn University at Montgomery</v>
      </c>
      <c r="D98" s="4" t="str">
        <f ca="1">IFERROR(__xludf.DUMMYFUNCTION("""COMPUTED_VALUE"""),"http://www.aum.edu/")</f>
        <v>http://www.aum.edu/</v>
      </c>
      <c r="G98" s="2" t="str">
        <f t="shared" ca="1" si="0"/>
        <v>Auburn University at Montgomery</v>
      </c>
      <c r="H98" s="5" t="str">
        <f t="shared" ca="1" si="1"/>
        <v>Auburn University at Montgomery</v>
      </c>
      <c r="I98" s="3" t="str">
        <f t="shared" ca="1" si="2"/>
        <v>'Auburn University at Montgomery',</v>
      </c>
    </row>
    <row r="99" spans="1:9">
      <c r="A99" s="1" t="s">
        <v>97</v>
      </c>
      <c r="B99" s="3" t="str">
        <f ca="1">IFERROR(__xludf.DUMMYFUNCTION("SPLIT(A99,"","")"),"US")</f>
        <v>US</v>
      </c>
      <c r="C99" s="3" t="str">
        <f ca="1">IFERROR(__xludf.DUMMYFUNCTION("""COMPUTED_VALUE"""),"Audrey Cohen College")</f>
        <v>Audrey Cohen College</v>
      </c>
      <c r="D99" s="4" t="str">
        <f ca="1">IFERROR(__xludf.DUMMYFUNCTION("""COMPUTED_VALUE"""),"http://www.audrey-cohen.edu/")</f>
        <v>http://www.audrey-cohen.edu/</v>
      </c>
      <c r="G99" s="2" t="str">
        <f t="shared" ca="1" si="0"/>
        <v>Audrey Cohen College</v>
      </c>
      <c r="H99" s="5" t="str">
        <f t="shared" ca="1" si="1"/>
        <v>Audrey Cohen College</v>
      </c>
      <c r="I99" s="3" t="str">
        <f t="shared" ca="1" si="2"/>
        <v>'Audrey Cohen College',</v>
      </c>
    </row>
    <row r="100" spans="1:9">
      <c r="A100" s="1" t="s">
        <v>98</v>
      </c>
      <c r="B100" s="3" t="str">
        <f ca="1">IFERROR(__xludf.DUMMYFUNCTION("SPLIT(A100,"","")"),"US")</f>
        <v>US</v>
      </c>
      <c r="C100" s="3" t="str">
        <f ca="1">IFERROR(__xludf.DUMMYFUNCTION("""COMPUTED_VALUE"""),"Augsburg College")</f>
        <v>Augsburg College</v>
      </c>
      <c r="D100" s="4" t="str">
        <f ca="1">IFERROR(__xludf.DUMMYFUNCTION("""COMPUTED_VALUE"""),"http://www.augsburg.edu/")</f>
        <v>http://www.augsburg.edu/</v>
      </c>
      <c r="G100" s="2" t="str">
        <f t="shared" ca="1" si="0"/>
        <v>Augsburg College</v>
      </c>
      <c r="H100" s="5" t="str">
        <f t="shared" ca="1" si="1"/>
        <v>Augsburg College</v>
      </c>
      <c r="I100" s="3" t="str">
        <f t="shared" ca="1" si="2"/>
        <v>'Augsburg College',</v>
      </c>
    </row>
    <row r="101" spans="1:9">
      <c r="A101" s="1" t="s">
        <v>99</v>
      </c>
      <c r="B101" s="3" t="str">
        <f ca="1">IFERROR(__xludf.DUMMYFUNCTION("SPLIT(A101,"","")"),"US")</f>
        <v>US</v>
      </c>
      <c r="C101" s="3" t="str">
        <f ca="1">IFERROR(__xludf.DUMMYFUNCTION("""COMPUTED_VALUE"""),"Augustana College")</f>
        <v>Augustana College</v>
      </c>
      <c r="D101" s="4" t="str">
        <f ca="1">IFERROR(__xludf.DUMMYFUNCTION("""COMPUTED_VALUE"""),"http://www.augustana.edu/")</f>
        <v>http://www.augustana.edu/</v>
      </c>
      <c r="G101" s="2" t="str">
        <f t="shared" ca="1" si="0"/>
        <v>Augustana College</v>
      </c>
      <c r="H101" s="5" t="str">
        <f t="shared" ca="1" si="1"/>
        <v>Augustana College</v>
      </c>
      <c r="I101" s="3" t="str">
        <f t="shared" ca="1" si="2"/>
        <v>'Augustana College',</v>
      </c>
    </row>
    <row r="102" spans="1:9">
      <c r="A102" s="1" t="s">
        <v>100</v>
      </c>
      <c r="B102" s="3" t="str">
        <f ca="1">IFERROR(__xludf.DUMMYFUNCTION("SPLIT(A102,"","")"),"US")</f>
        <v>US</v>
      </c>
      <c r="C102" s="3" t="str">
        <f ca="1">IFERROR(__xludf.DUMMYFUNCTION("""COMPUTED_VALUE"""),"Augustana College")</f>
        <v>Augustana College</v>
      </c>
      <c r="D102" s="4" t="str">
        <f ca="1">IFERROR(__xludf.DUMMYFUNCTION("""COMPUTED_VALUE"""),"http://www.augie.edu/")</f>
        <v>http://www.augie.edu/</v>
      </c>
      <c r="G102" s="2" t="str">
        <f t="shared" ca="1" si="0"/>
        <v>Augustana College</v>
      </c>
      <c r="H102" s="5" t="str">
        <f t="shared" ca="1" si="1"/>
        <v>Augustana College</v>
      </c>
      <c r="I102" s="3" t="str">
        <f t="shared" ca="1" si="2"/>
        <v>'Augustana College',</v>
      </c>
    </row>
    <row r="103" spans="1:9">
      <c r="A103" s="1" t="s">
        <v>101</v>
      </c>
      <c r="B103" s="3" t="str">
        <f ca="1">IFERROR(__xludf.DUMMYFUNCTION("SPLIT(A103,"","")"),"US")</f>
        <v>US</v>
      </c>
      <c r="C103" s="3" t="str">
        <f ca="1">IFERROR(__xludf.DUMMYFUNCTION("""COMPUTED_VALUE"""),"Augusta State University")</f>
        <v>Augusta State University</v>
      </c>
      <c r="D103" s="4" t="str">
        <f ca="1">IFERROR(__xludf.DUMMYFUNCTION("""COMPUTED_VALUE"""),"http://www.aug.edu/")</f>
        <v>http://www.aug.edu/</v>
      </c>
      <c r="G103" s="2" t="str">
        <f t="shared" ca="1" si="0"/>
        <v>Augusta State University</v>
      </c>
      <c r="H103" s="5" t="str">
        <f t="shared" ca="1" si="1"/>
        <v>Augusta State University</v>
      </c>
      <c r="I103" s="3" t="str">
        <f t="shared" ca="1" si="2"/>
        <v>'Augusta State University',</v>
      </c>
    </row>
    <row r="104" spans="1:9">
      <c r="A104" s="1" t="s">
        <v>102</v>
      </c>
      <c r="B104" s="3" t="str">
        <f ca="1">IFERROR(__xludf.DUMMYFUNCTION("SPLIT(A104,"","")"),"US")</f>
        <v>US</v>
      </c>
      <c r="C104" s="3" t="str">
        <f ca="1">IFERROR(__xludf.DUMMYFUNCTION("""COMPUTED_VALUE"""),"Aurora University")</f>
        <v>Aurora University</v>
      </c>
      <c r="D104" s="4" t="str">
        <f ca="1">IFERROR(__xludf.DUMMYFUNCTION("""COMPUTED_VALUE"""),"http://www.aurora.edu/")</f>
        <v>http://www.aurora.edu/</v>
      </c>
      <c r="G104" s="2" t="str">
        <f t="shared" ca="1" si="0"/>
        <v>Aurora University</v>
      </c>
      <c r="H104" s="5" t="str">
        <f t="shared" ca="1" si="1"/>
        <v>Aurora University</v>
      </c>
      <c r="I104" s="3" t="str">
        <f t="shared" ca="1" si="2"/>
        <v>'Aurora University',</v>
      </c>
    </row>
    <row r="105" spans="1:9">
      <c r="A105" s="1" t="s">
        <v>103</v>
      </c>
      <c r="B105" s="3" t="str">
        <f ca="1">IFERROR(__xludf.DUMMYFUNCTION("SPLIT(A105,"","")"),"US")</f>
        <v>US</v>
      </c>
      <c r="C105" s="3" t="str">
        <f ca="1">IFERROR(__xludf.DUMMYFUNCTION("""COMPUTED_VALUE"""),"Austin College")</f>
        <v>Austin College</v>
      </c>
      <c r="D105" s="4" t="str">
        <f ca="1">IFERROR(__xludf.DUMMYFUNCTION("""COMPUTED_VALUE"""),"http://www.austinc.edu/")</f>
        <v>http://www.austinc.edu/</v>
      </c>
      <c r="G105" s="2" t="str">
        <f t="shared" ca="1" si="0"/>
        <v>Austin College</v>
      </c>
      <c r="H105" s="5" t="str">
        <f t="shared" ca="1" si="1"/>
        <v>Austin College</v>
      </c>
      <c r="I105" s="3" t="str">
        <f t="shared" ca="1" si="2"/>
        <v>'Austin College',</v>
      </c>
    </row>
    <row r="106" spans="1:9">
      <c r="A106" s="1" t="s">
        <v>104</v>
      </c>
      <c r="B106" s="3" t="str">
        <f ca="1">IFERROR(__xludf.DUMMYFUNCTION("SPLIT(A106,"","")"),"US")</f>
        <v>US</v>
      </c>
      <c r="C106" s="3" t="str">
        <f ca="1">IFERROR(__xludf.DUMMYFUNCTION("""COMPUTED_VALUE"""),"Austin Community College")</f>
        <v>Austin Community College</v>
      </c>
      <c r="D106" s="4" t="str">
        <f ca="1">IFERROR(__xludf.DUMMYFUNCTION("""COMPUTED_VALUE"""),"http://www.austin.cc.tx.us/")</f>
        <v>http://www.austin.cc.tx.us/</v>
      </c>
      <c r="G106" s="2" t="str">
        <f t="shared" ca="1" si="0"/>
        <v>Austin Community College</v>
      </c>
      <c r="H106" s="5" t="str">
        <f t="shared" ca="1" si="1"/>
        <v>Austin Community College</v>
      </c>
      <c r="I106" s="3" t="str">
        <f t="shared" ca="1" si="2"/>
        <v>'Austin Community College',</v>
      </c>
    </row>
    <row r="107" spans="1:9">
      <c r="A107" s="1" t="s">
        <v>105</v>
      </c>
      <c r="B107" s="3" t="str">
        <f ca="1">IFERROR(__xludf.DUMMYFUNCTION("SPLIT(A107,"","")"),"US")</f>
        <v>US</v>
      </c>
      <c r="C107" s="3" t="str">
        <f ca="1">IFERROR(__xludf.DUMMYFUNCTION("""COMPUTED_VALUE"""),"Austin Peay State University")</f>
        <v>Austin Peay State University</v>
      </c>
      <c r="D107" s="4" t="str">
        <f ca="1">IFERROR(__xludf.DUMMYFUNCTION("""COMPUTED_VALUE"""),"http://www.apsu.edu/")</f>
        <v>http://www.apsu.edu/</v>
      </c>
      <c r="G107" s="2" t="str">
        <f t="shared" ca="1" si="0"/>
        <v>Austin Peay State University</v>
      </c>
      <c r="H107" s="5" t="str">
        <f t="shared" ca="1" si="1"/>
        <v>Austin Peay State University</v>
      </c>
      <c r="I107" s="3" t="str">
        <f t="shared" ca="1" si="2"/>
        <v>'Austin Peay State University',</v>
      </c>
    </row>
    <row r="108" spans="1:9">
      <c r="A108" s="1" t="s">
        <v>106</v>
      </c>
      <c r="B108" s="3" t="str">
        <f ca="1">IFERROR(__xludf.DUMMYFUNCTION("SPLIT(A108,"","")"),"US")</f>
        <v>US</v>
      </c>
      <c r="C108" s="3" t="str">
        <f ca="1">IFERROR(__xludf.DUMMYFUNCTION("""COMPUTED_VALUE"""),"Ave Maria University")</f>
        <v>Ave Maria University</v>
      </c>
      <c r="D108" s="4" t="str">
        <f ca="1">IFERROR(__xludf.DUMMYFUNCTION("""COMPUTED_VALUE"""),"http://www.avemaria.edu/")</f>
        <v>http://www.avemaria.edu/</v>
      </c>
      <c r="G108" s="2" t="str">
        <f t="shared" ca="1" si="0"/>
        <v>Ave Maria University</v>
      </c>
      <c r="H108" s="5" t="str">
        <f t="shared" ca="1" si="1"/>
        <v>Ave Maria University</v>
      </c>
      <c r="I108" s="3" t="str">
        <f t="shared" ca="1" si="2"/>
        <v>'Ave Maria University',</v>
      </c>
    </row>
    <row r="109" spans="1:9">
      <c r="A109" s="1" t="s">
        <v>107</v>
      </c>
      <c r="B109" s="3" t="str">
        <f ca="1">IFERROR(__xludf.DUMMYFUNCTION("SPLIT(A109,"","")"),"US")</f>
        <v>US</v>
      </c>
      <c r="C109" s="3" t="str">
        <f ca="1">IFERROR(__xludf.DUMMYFUNCTION("""COMPUTED_VALUE"""),"Averett College")</f>
        <v>Averett College</v>
      </c>
      <c r="D109" s="4" t="str">
        <f ca="1">IFERROR(__xludf.DUMMYFUNCTION("""COMPUTED_VALUE"""),"http://www.averett.edu/")</f>
        <v>http://www.averett.edu/</v>
      </c>
      <c r="G109" s="2" t="str">
        <f t="shared" ca="1" si="0"/>
        <v>Averett College</v>
      </c>
      <c r="H109" s="5" t="str">
        <f t="shared" ca="1" si="1"/>
        <v>Averett College</v>
      </c>
      <c r="I109" s="3" t="str">
        <f t="shared" ca="1" si="2"/>
        <v>'Averett College',</v>
      </c>
    </row>
    <row r="110" spans="1:9">
      <c r="A110" s="1" t="s">
        <v>108</v>
      </c>
      <c r="B110" s="3" t="str">
        <f ca="1">IFERROR(__xludf.DUMMYFUNCTION("SPLIT(A110,"","")"),"US")</f>
        <v>US</v>
      </c>
      <c r="C110" s="3" t="str">
        <f ca="1">IFERROR(__xludf.DUMMYFUNCTION("""COMPUTED_VALUE"""),"Avila College")</f>
        <v>Avila College</v>
      </c>
      <c r="D110" s="4" t="str">
        <f ca="1">IFERROR(__xludf.DUMMYFUNCTION("""COMPUTED_VALUE"""),"http://www.avila.edu/")</f>
        <v>http://www.avila.edu/</v>
      </c>
      <c r="G110" s="2" t="str">
        <f t="shared" ca="1" si="0"/>
        <v>Avila College</v>
      </c>
      <c r="H110" s="5" t="str">
        <f t="shared" ca="1" si="1"/>
        <v>Avila College</v>
      </c>
      <c r="I110" s="3" t="str">
        <f t="shared" ca="1" si="2"/>
        <v>'Avila College',</v>
      </c>
    </row>
    <row r="111" spans="1:9">
      <c r="A111" s="1" t="s">
        <v>109</v>
      </c>
      <c r="B111" s="3" t="str">
        <f ca="1">IFERROR(__xludf.DUMMYFUNCTION("SPLIT(A111,"","")"),"US")</f>
        <v>US</v>
      </c>
      <c r="C111" s="3" t="str">
        <f ca="1">IFERROR(__xludf.DUMMYFUNCTION("""COMPUTED_VALUE"""),"Azusa Pacific University")</f>
        <v>Azusa Pacific University</v>
      </c>
      <c r="D111" s="4" t="str">
        <f ca="1">IFERROR(__xludf.DUMMYFUNCTION("""COMPUTED_VALUE"""),"http://www.apu.edu/")</f>
        <v>http://www.apu.edu/</v>
      </c>
      <c r="G111" s="2" t="str">
        <f t="shared" ca="1" si="0"/>
        <v>Azusa Pacific University</v>
      </c>
      <c r="H111" s="5" t="str">
        <f t="shared" ca="1" si="1"/>
        <v>Azusa Pacific University</v>
      </c>
      <c r="I111" s="3" t="str">
        <f t="shared" ca="1" si="2"/>
        <v>'Azusa Pacific University',</v>
      </c>
    </row>
    <row r="112" spans="1:9">
      <c r="A112" s="1" t="s">
        <v>110</v>
      </c>
      <c r="B112" s="3" t="str">
        <f ca="1">IFERROR(__xludf.DUMMYFUNCTION("SPLIT(A112,"","")"),"US")</f>
        <v>US</v>
      </c>
      <c r="C112" s="3" t="str">
        <f ca="1">IFERROR(__xludf.DUMMYFUNCTION("""COMPUTED_VALUE"""),"Babson College")</f>
        <v>Babson College</v>
      </c>
      <c r="D112" s="4" t="str">
        <f ca="1">IFERROR(__xludf.DUMMYFUNCTION("""COMPUTED_VALUE"""),"http://www.babson.edu/")</f>
        <v>http://www.babson.edu/</v>
      </c>
      <c r="G112" s="2" t="str">
        <f t="shared" ca="1" si="0"/>
        <v>Babson College</v>
      </c>
      <c r="H112" s="5" t="str">
        <f t="shared" ca="1" si="1"/>
        <v>Babson College</v>
      </c>
      <c r="I112" s="3" t="str">
        <f t="shared" ca="1" si="2"/>
        <v>'Babson College',</v>
      </c>
    </row>
    <row r="113" spans="1:9">
      <c r="A113" s="1" t="s">
        <v>111</v>
      </c>
      <c r="B113" s="3" t="str">
        <f ca="1">IFERROR(__xludf.DUMMYFUNCTION("SPLIT(A113,"","")"),"US")</f>
        <v>US</v>
      </c>
      <c r="C113" s="3" t="str">
        <f ca="1">IFERROR(__xludf.DUMMYFUNCTION("""COMPUTED_VALUE"""),"Baker College of Auburn Hills")</f>
        <v>Baker College of Auburn Hills</v>
      </c>
      <c r="D113" s="4" t="str">
        <f ca="1">IFERROR(__xludf.DUMMYFUNCTION("""COMPUTED_VALUE"""),"http://www.baker.edu/visit/auburn.html")</f>
        <v>http://www.baker.edu/visit/auburn.html</v>
      </c>
      <c r="G113" s="2" t="str">
        <f t="shared" ca="1" si="0"/>
        <v>Baker College of Auburn Hills</v>
      </c>
      <c r="H113" s="5" t="str">
        <f t="shared" ca="1" si="1"/>
        <v>Baker College of Auburn Hills</v>
      </c>
      <c r="I113" s="3" t="str">
        <f t="shared" ca="1" si="2"/>
        <v>'Baker College of Auburn Hills',</v>
      </c>
    </row>
    <row r="114" spans="1:9">
      <c r="A114" s="1" t="s">
        <v>112</v>
      </c>
      <c r="B114" s="3" t="str">
        <f ca="1">IFERROR(__xludf.DUMMYFUNCTION("SPLIT(A114,"","")"),"US")</f>
        <v>US</v>
      </c>
      <c r="C114" s="3" t="str">
        <f ca="1">IFERROR(__xludf.DUMMYFUNCTION("""COMPUTED_VALUE"""),"Baker College of Cadillac")</f>
        <v>Baker College of Cadillac</v>
      </c>
      <c r="D114" s="4" t="str">
        <f ca="1">IFERROR(__xludf.DUMMYFUNCTION("""COMPUTED_VALUE"""),"http://www.baker.edu/visit/cadillac.html")</f>
        <v>http://www.baker.edu/visit/cadillac.html</v>
      </c>
      <c r="G114" s="2" t="str">
        <f t="shared" ca="1" si="0"/>
        <v>Baker College of Cadillac</v>
      </c>
      <c r="H114" s="5" t="str">
        <f t="shared" ca="1" si="1"/>
        <v>Baker College of Cadillac</v>
      </c>
      <c r="I114" s="3" t="str">
        <f t="shared" ca="1" si="2"/>
        <v>'Baker College of Cadillac',</v>
      </c>
    </row>
    <row r="115" spans="1:9">
      <c r="A115" s="1" t="s">
        <v>113</v>
      </c>
      <c r="B115" s="3" t="str">
        <f ca="1">IFERROR(__xludf.DUMMYFUNCTION("SPLIT(A115,"","")"),"US")</f>
        <v>US</v>
      </c>
      <c r="C115" s="3" t="str">
        <f ca="1">IFERROR(__xludf.DUMMYFUNCTION("""COMPUTED_VALUE"""),"Baker College of Flint")</f>
        <v>Baker College of Flint</v>
      </c>
      <c r="D115" s="4" t="str">
        <f ca="1">IFERROR(__xludf.DUMMYFUNCTION("""COMPUTED_VALUE"""),"http://www.baker.edu/visit/flint.html")</f>
        <v>http://www.baker.edu/visit/flint.html</v>
      </c>
      <c r="G115" s="2" t="str">
        <f t="shared" ca="1" si="0"/>
        <v>Baker College of Flint</v>
      </c>
      <c r="H115" s="5" t="str">
        <f t="shared" ca="1" si="1"/>
        <v>Baker College of Flint</v>
      </c>
      <c r="I115" s="3" t="str">
        <f t="shared" ca="1" si="2"/>
        <v>'Baker College of Flint',</v>
      </c>
    </row>
    <row r="116" spans="1:9">
      <c r="A116" s="1" t="s">
        <v>114</v>
      </c>
      <c r="B116" s="3" t="str">
        <f ca="1">IFERROR(__xludf.DUMMYFUNCTION("SPLIT(A116,"","")"),"US")</f>
        <v>US</v>
      </c>
      <c r="C116" s="3" t="str">
        <f ca="1">IFERROR(__xludf.DUMMYFUNCTION("""COMPUTED_VALUE"""),"Baker College of Mount Clemens")</f>
        <v>Baker College of Mount Clemens</v>
      </c>
      <c r="D116" s="4" t="str">
        <f ca="1">IFERROR(__xludf.DUMMYFUNCTION("""COMPUTED_VALUE"""),"http://www.baker.edu/visit/mtclemens.html")</f>
        <v>http://www.baker.edu/visit/mtclemens.html</v>
      </c>
      <c r="G116" s="2" t="str">
        <f t="shared" ca="1" si="0"/>
        <v>Baker College of Mount Clemens</v>
      </c>
      <c r="H116" s="5" t="str">
        <f t="shared" ca="1" si="1"/>
        <v>Baker College of Mount Clemens</v>
      </c>
      <c r="I116" s="3" t="str">
        <f t="shared" ca="1" si="2"/>
        <v>'Baker College of Mount Clemens',</v>
      </c>
    </row>
    <row r="117" spans="1:9">
      <c r="A117" s="1" t="s">
        <v>115</v>
      </c>
      <c r="B117" s="3" t="str">
        <f ca="1">IFERROR(__xludf.DUMMYFUNCTION("SPLIT(A117,"","")"),"US")</f>
        <v>US</v>
      </c>
      <c r="C117" s="3" t="str">
        <f ca="1">IFERROR(__xludf.DUMMYFUNCTION("""COMPUTED_VALUE"""),"Baker College of Muskegon")</f>
        <v>Baker College of Muskegon</v>
      </c>
      <c r="D117" s="4" t="str">
        <f ca="1">IFERROR(__xludf.DUMMYFUNCTION("""COMPUTED_VALUE"""),"http://www.baker.edu/visit/muskegon.html")</f>
        <v>http://www.baker.edu/visit/muskegon.html</v>
      </c>
      <c r="G117" s="2" t="str">
        <f t="shared" ca="1" si="0"/>
        <v>Baker College of Muskegon</v>
      </c>
      <c r="H117" s="5" t="str">
        <f t="shared" ca="1" si="1"/>
        <v>Baker College of Muskegon</v>
      </c>
      <c r="I117" s="3" t="str">
        <f t="shared" ca="1" si="2"/>
        <v>'Baker College of Muskegon',</v>
      </c>
    </row>
    <row r="118" spans="1:9">
      <c r="A118" s="1" t="s">
        <v>116</v>
      </c>
      <c r="B118" s="3" t="str">
        <f ca="1">IFERROR(__xludf.DUMMYFUNCTION("SPLIT(A118,"","")"),"US")</f>
        <v>US</v>
      </c>
      <c r="C118" s="3" t="str">
        <f ca="1">IFERROR(__xludf.DUMMYFUNCTION("""COMPUTED_VALUE"""),"Baker College of Owosso")</f>
        <v>Baker College of Owosso</v>
      </c>
      <c r="D118" s="4" t="str">
        <f ca="1">IFERROR(__xludf.DUMMYFUNCTION("""COMPUTED_VALUE"""),"http://www.baker.edu/visit/owosso.html")</f>
        <v>http://www.baker.edu/visit/owosso.html</v>
      </c>
      <c r="G118" s="2" t="str">
        <f t="shared" ca="1" si="0"/>
        <v>Baker College of Owosso</v>
      </c>
      <c r="H118" s="5" t="str">
        <f t="shared" ca="1" si="1"/>
        <v>Baker College of Owosso</v>
      </c>
      <c r="I118" s="3" t="str">
        <f t="shared" ca="1" si="2"/>
        <v>'Baker College of Owosso',</v>
      </c>
    </row>
    <row r="119" spans="1:9">
      <c r="A119" s="1" t="s">
        <v>117</v>
      </c>
      <c r="B119" s="3" t="str">
        <f ca="1">IFERROR(__xludf.DUMMYFUNCTION("SPLIT(A119,"","")"),"US")</f>
        <v>US</v>
      </c>
      <c r="C119" s="3" t="str">
        <f ca="1">IFERROR(__xludf.DUMMYFUNCTION("""COMPUTED_VALUE"""),"Baker College of Port Huron")</f>
        <v>Baker College of Port Huron</v>
      </c>
      <c r="D119" s="4" t="str">
        <f ca="1">IFERROR(__xludf.DUMMYFUNCTION("""COMPUTED_VALUE"""),"http://www.baker.edu/visit/porthuron.html")</f>
        <v>http://www.baker.edu/visit/porthuron.html</v>
      </c>
      <c r="G119" s="2" t="str">
        <f t="shared" ca="1" si="0"/>
        <v>Baker College of Port Huron</v>
      </c>
      <c r="H119" s="5" t="str">
        <f t="shared" ca="1" si="1"/>
        <v>Baker College of Port Huron</v>
      </c>
      <c r="I119" s="3" t="str">
        <f t="shared" ca="1" si="2"/>
        <v>'Baker College of Port Huron',</v>
      </c>
    </row>
    <row r="120" spans="1:9">
      <c r="A120" s="1" t="s">
        <v>118</v>
      </c>
      <c r="B120" s="3" t="str">
        <f ca="1">IFERROR(__xludf.DUMMYFUNCTION("SPLIT(A120,"","")"),"US")</f>
        <v>US</v>
      </c>
      <c r="C120" s="3" t="str">
        <f ca="1">IFERROR(__xludf.DUMMYFUNCTION("""COMPUTED_VALUE"""),"Baker University")</f>
        <v>Baker University</v>
      </c>
      <c r="D120" s="4" t="str">
        <f ca="1">IFERROR(__xludf.DUMMYFUNCTION("""COMPUTED_VALUE"""),"http://www.bakeru.edu/")</f>
        <v>http://www.bakeru.edu/</v>
      </c>
      <c r="G120" s="2" t="str">
        <f t="shared" ca="1" si="0"/>
        <v>Baker University</v>
      </c>
      <c r="H120" s="5" t="str">
        <f t="shared" ca="1" si="1"/>
        <v>Baker University</v>
      </c>
      <c r="I120" s="3" t="str">
        <f t="shared" ca="1" si="2"/>
        <v>'Baker University',</v>
      </c>
    </row>
    <row r="121" spans="1:9">
      <c r="A121" s="1" t="s">
        <v>119</v>
      </c>
      <c r="B121" s="3" t="str">
        <f ca="1">IFERROR(__xludf.DUMMYFUNCTION("SPLIT(A121,"","")"),"US")</f>
        <v>US</v>
      </c>
      <c r="C121" s="3" t="str">
        <f ca="1">IFERROR(__xludf.DUMMYFUNCTION("""COMPUTED_VALUE"""),"Baldwin-Wallace College")</f>
        <v>Baldwin-Wallace College</v>
      </c>
      <c r="D121" s="4" t="str">
        <f ca="1">IFERROR(__xludf.DUMMYFUNCTION("""COMPUTED_VALUE"""),"http://www.baldwinw.edu/")</f>
        <v>http://www.baldwinw.edu/</v>
      </c>
      <c r="G121" s="2" t="str">
        <f t="shared" ca="1" si="0"/>
        <v>Baldwin-Wallace College</v>
      </c>
      <c r="H121" s="5" t="str">
        <f t="shared" ca="1" si="1"/>
        <v>Baldwin-Wallace College</v>
      </c>
      <c r="I121" s="3" t="str">
        <f t="shared" ca="1" si="2"/>
        <v>'Baldwin-Wallace College',</v>
      </c>
    </row>
    <row r="122" spans="1:9">
      <c r="A122" s="1" t="s">
        <v>120</v>
      </c>
      <c r="B122" s="3" t="str">
        <f ca="1">IFERROR(__xludf.DUMMYFUNCTION("SPLIT(A122,"","")"),"US")</f>
        <v>US</v>
      </c>
      <c r="C122" s="3" t="str">
        <f ca="1">IFERROR(__xludf.DUMMYFUNCTION("""COMPUTED_VALUE"""),"Ball State University")</f>
        <v>Ball State University</v>
      </c>
      <c r="D122" s="4" t="str">
        <f ca="1">IFERROR(__xludf.DUMMYFUNCTION("""COMPUTED_VALUE"""),"http://www.bsu.edu/")</f>
        <v>http://www.bsu.edu/</v>
      </c>
      <c r="G122" s="2" t="str">
        <f t="shared" ca="1" si="0"/>
        <v>Ball State University</v>
      </c>
      <c r="H122" s="5" t="str">
        <f t="shared" ca="1" si="1"/>
        <v>Ball State University</v>
      </c>
      <c r="I122" s="3" t="str">
        <f t="shared" ca="1" si="2"/>
        <v>'Ball State University',</v>
      </c>
    </row>
    <row r="123" spans="1:9">
      <c r="A123" s="1" t="s">
        <v>121</v>
      </c>
      <c r="B123" s="3" t="str">
        <f ca="1">IFERROR(__xludf.DUMMYFUNCTION("SPLIT(A123,"","")"),"US")</f>
        <v>US</v>
      </c>
      <c r="C123" s="3" t="str">
        <f ca="1">IFERROR(__xludf.DUMMYFUNCTION("""COMPUTED_VALUE"""),"Baltimore Hebrew University")</f>
        <v>Baltimore Hebrew University</v>
      </c>
      <c r="D123" s="4" t="str">
        <f ca="1">IFERROR(__xludf.DUMMYFUNCTION("""COMPUTED_VALUE"""),"http://www.bhu.edu/")</f>
        <v>http://www.bhu.edu/</v>
      </c>
      <c r="G123" s="2" t="str">
        <f t="shared" ca="1" si="0"/>
        <v>Baltimore Hebrew University</v>
      </c>
      <c r="H123" s="5" t="str">
        <f t="shared" ca="1" si="1"/>
        <v>Baltimore Hebrew University</v>
      </c>
      <c r="I123" s="3" t="str">
        <f t="shared" ca="1" si="2"/>
        <v>'Baltimore Hebrew University',</v>
      </c>
    </row>
    <row r="124" spans="1:9">
      <c r="A124" s="1" t="s">
        <v>122</v>
      </c>
      <c r="B124" s="3" t="str">
        <f ca="1">IFERROR(__xludf.DUMMYFUNCTION("SPLIT(A124,"","")"),"US")</f>
        <v>US</v>
      </c>
      <c r="C124" s="3" t="str">
        <f ca="1">IFERROR(__xludf.DUMMYFUNCTION("""COMPUTED_VALUE"""),"Baltimore International College")</f>
        <v>Baltimore International College</v>
      </c>
      <c r="D124" s="4" t="str">
        <f ca="1">IFERROR(__xludf.DUMMYFUNCTION("""COMPUTED_VALUE"""),"http://www.bic.edu/")</f>
        <v>http://www.bic.edu/</v>
      </c>
      <c r="G124" s="2" t="str">
        <f t="shared" ca="1" si="0"/>
        <v>Baltimore International College</v>
      </c>
      <c r="H124" s="5" t="str">
        <f t="shared" ca="1" si="1"/>
        <v>Baltimore International College</v>
      </c>
      <c r="I124" s="3" t="str">
        <f t="shared" ca="1" si="2"/>
        <v>'Baltimore International College',</v>
      </c>
    </row>
    <row r="125" spans="1:9">
      <c r="A125" s="1" t="s">
        <v>123</v>
      </c>
      <c r="B125" s="3" t="str">
        <f ca="1">IFERROR(__xludf.DUMMYFUNCTION("SPLIT(A125,"","")"),"US")</f>
        <v>US</v>
      </c>
      <c r="C125" s="3" t="str">
        <f ca="1">IFERROR(__xludf.DUMMYFUNCTION("""COMPUTED_VALUE"""),"Bank Street College of Education")</f>
        <v>Bank Street College of Education</v>
      </c>
      <c r="D125" s="4" t="str">
        <f ca="1">IFERROR(__xludf.DUMMYFUNCTION("""COMPUTED_VALUE"""),"http://www.bnkst.edu/")</f>
        <v>http://www.bnkst.edu/</v>
      </c>
      <c r="G125" s="2" t="str">
        <f t="shared" ca="1" si="0"/>
        <v>Bank Street College of Education</v>
      </c>
      <c r="H125" s="5" t="str">
        <f t="shared" ca="1" si="1"/>
        <v>Bank Street College of Education</v>
      </c>
      <c r="I125" s="3" t="str">
        <f t="shared" ca="1" si="2"/>
        <v>'Bank Street College of Education',</v>
      </c>
    </row>
    <row r="126" spans="1:9">
      <c r="A126" s="1" t="s">
        <v>124</v>
      </c>
      <c r="B126" s="3" t="str">
        <f ca="1">IFERROR(__xludf.DUMMYFUNCTION("SPLIT(A126,"","")"),"US")</f>
        <v>US</v>
      </c>
      <c r="C126" s="3" t="str">
        <f ca="1">IFERROR(__xludf.DUMMYFUNCTION("""COMPUTED_VALUE"""),"Baptist Bible College of Missouri")</f>
        <v>Baptist Bible College of Missouri</v>
      </c>
      <c r="D126" s="4" t="str">
        <f ca="1">IFERROR(__xludf.DUMMYFUNCTION("""COMPUTED_VALUE"""),"http://www.bbcnet.edu/")</f>
        <v>http://www.bbcnet.edu/</v>
      </c>
      <c r="G126" s="2" t="str">
        <f t="shared" ca="1" si="0"/>
        <v>Baptist Bible College of Missouri</v>
      </c>
      <c r="H126" s="5" t="str">
        <f t="shared" ca="1" si="1"/>
        <v>Baptist Bible College of Missouri</v>
      </c>
      <c r="I126" s="3" t="str">
        <f t="shared" ca="1" si="2"/>
        <v>'Baptist Bible College of Missouri',</v>
      </c>
    </row>
    <row r="127" spans="1:9">
      <c r="A127" s="1" t="s">
        <v>125</v>
      </c>
      <c r="B127" s="3" t="str">
        <f ca="1">IFERROR(__xludf.DUMMYFUNCTION("SPLIT(A127,"","")"),"US")</f>
        <v>US</v>
      </c>
      <c r="C127" s="3" t="str">
        <f ca="1">IFERROR(__xludf.DUMMYFUNCTION("""COMPUTED_VALUE"""),"Baptist Bible College of Pennsylvania")</f>
        <v>Baptist Bible College of Pennsylvania</v>
      </c>
      <c r="D127" s="4" t="str">
        <f ca="1">IFERROR(__xludf.DUMMYFUNCTION("""COMPUTED_VALUE"""),"http://www.bbc.edu/")</f>
        <v>http://www.bbc.edu/</v>
      </c>
      <c r="G127" s="2" t="str">
        <f t="shared" ca="1" si="0"/>
        <v>Baptist Bible College of Pennsylvania</v>
      </c>
      <c r="H127" s="5" t="str">
        <f t="shared" ca="1" si="1"/>
        <v>Baptist Bible College of Pennsylvania</v>
      </c>
      <c r="I127" s="3" t="str">
        <f t="shared" ca="1" si="2"/>
        <v>'Baptist Bible College of Pennsylvania',</v>
      </c>
    </row>
    <row r="128" spans="1:9">
      <c r="A128" s="1" t="s">
        <v>126</v>
      </c>
      <c r="B128" s="3" t="str">
        <f ca="1">IFERROR(__xludf.DUMMYFUNCTION("SPLIT(A128,"","")"),"US")</f>
        <v>US</v>
      </c>
      <c r="C128" s="3" t="str">
        <f ca="1">IFERROR(__xludf.DUMMYFUNCTION("""COMPUTED_VALUE"""),"Barat College")</f>
        <v>Barat College</v>
      </c>
      <c r="D128" s="4" t="str">
        <f ca="1">IFERROR(__xludf.DUMMYFUNCTION("""COMPUTED_VALUE"""),"http://www.barat.edu/")</f>
        <v>http://www.barat.edu/</v>
      </c>
      <c r="G128" s="2" t="str">
        <f t="shared" ca="1" si="0"/>
        <v>Barat College</v>
      </c>
      <c r="H128" s="5" t="str">
        <f t="shared" ca="1" si="1"/>
        <v>Barat College</v>
      </c>
      <c r="I128" s="3" t="str">
        <f t="shared" ca="1" si="2"/>
        <v>'Barat College',</v>
      </c>
    </row>
    <row r="129" spans="1:9">
      <c r="A129" s="1" t="s">
        <v>127</v>
      </c>
      <c r="B129" s="3" t="str">
        <f ca="1">IFERROR(__xludf.DUMMYFUNCTION("SPLIT(A129,"","")"),"US")</f>
        <v>US</v>
      </c>
      <c r="C129" s="3" t="str">
        <f ca="1">IFERROR(__xludf.DUMMYFUNCTION("""COMPUTED_VALUE"""),"Barber-Scotia College")</f>
        <v>Barber-Scotia College</v>
      </c>
      <c r="D129" s="4" t="str">
        <f ca="1">IFERROR(__xludf.DUMMYFUNCTION("""COMPUTED_VALUE"""),"http://www.b-sc.edu/")</f>
        <v>http://www.b-sc.edu/</v>
      </c>
      <c r="G129" s="2" t="str">
        <f t="shared" ca="1" si="0"/>
        <v>Barber-Scotia College</v>
      </c>
      <c r="H129" s="5" t="str">
        <f t="shared" ca="1" si="1"/>
        <v>Barber-Scotia College</v>
      </c>
      <c r="I129" s="3" t="str">
        <f t="shared" ca="1" si="2"/>
        <v>'Barber-Scotia College',</v>
      </c>
    </row>
    <row r="130" spans="1:9">
      <c r="A130" s="1" t="s">
        <v>128</v>
      </c>
      <c r="B130" s="3" t="str">
        <f ca="1">IFERROR(__xludf.DUMMYFUNCTION("SPLIT(A130,"","")"),"US")</f>
        <v>US</v>
      </c>
      <c r="C130" s="3" t="str">
        <f ca="1">IFERROR(__xludf.DUMMYFUNCTION("""COMPUTED_VALUE"""),"Barclay College")</f>
        <v>Barclay College</v>
      </c>
      <c r="D130" s="4" t="str">
        <f ca="1">IFERROR(__xludf.DUMMYFUNCTION("""COMPUTED_VALUE"""),"http://www.barclaycollege.edu/")</f>
        <v>http://www.barclaycollege.edu/</v>
      </c>
      <c r="G130" s="2" t="str">
        <f t="shared" ca="1" si="0"/>
        <v>Barclay College</v>
      </c>
      <c r="H130" s="5" t="str">
        <f t="shared" ca="1" si="1"/>
        <v>Barclay College</v>
      </c>
      <c r="I130" s="3" t="str">
        <f t="shared" ca="1" si="2"/>
        <v>'Barclay College',</v>
      </c>
    </row>
    <row r="131" spans="1:9">
      <c r="A131" s="1" t="s">
        <v>129</v>
      </c>
      <c r="B131" s="3" t="str">
        <f ca="1">IFERROR(__xludf.DUMMYFUNCTION("SPLIT(A131,"","")"),"US")</f>
        <v>US</v>
      </c>
      <c r="C131" s="3" t="str">
        <f ca="1">IFERROR(__xludf.DUMMYFUNCTION("""COMPUTED_VALUE"""),"Bard College")</f>
        <v>Bard College</v>
      </c>
      <c r="D131" s="4" t="str">
        <f ca="1">IFERROR(__xludf.DUMMYFUNCTION("""COMPUTED_VALUE"""),"http://www.bard.edu/")</f>
        <v>http://www.bard.edu/</v>
      </c>
      <c r="G131" s="2" t="str">
        <f t="shared" ca="1" si="0"/>
        <v>Bard College</v>
      </c>
      <c r="H131" s="5" t="str">
        <f t="shared" ca="1" si="1"/>
        <v>Bard College</v>
      </c>
      <c r="I131" s="3" t="str">
        <f t="shared" ca="1" si="2"/>
        <v>'Bard College',</v>
      </c>
    </row>
    <row r="132" spans="1:9">
      <c r="A132" s="1" t="s">
        <v>130</v>
      </c>
      <c r="B132" s="3" t="str">
        <f ca="1">IFERROR(__xludf.DUMMYFUNCTION("SPLIT(A132,"","")"),"US")</f>
        <v>US</v>
      </c>
      <c r="C132" s="3" t="str">
        <f ca="1">IFERROR(__xludf.DUMMYFUNCTION("""COMPUTED_VALUE"""),"Bard Graduate Center for Studies in the Decorative Arts")</f>
        <v>Bard Graduate Center for Studies in the Decorative Arts</v>
      </c>
      <c r="D132" s="4" t="str">
        <f ca="1">IFERROR(__xludf.DUMMYFUNCTION("""COMPUTED_VALUE"""),"http://www.bard.edu/graduate/BGC/intro.html")</f>
        <v>http://www.bard.edu/graduate/BGC/intro.html</v>
      </c>
      <c r="G132" s="2" t="str">
        <f t="shared" ca="1" si="0"/>
        <v>Bard Graduate Center for Studies in the Decorative Arts</v>
      </c>
      <c r="H132" s="5" t="str">
        <f t="shared" ca="1" si="1"/>
        <v>Bard Graduate Center for Studies in the Decorative Arts</v>
      </c>
      <c r="I132" s="3" t="str">
        <f t="shared" ca="1" si="2"/>
        <v>'Bard Graduate Center for Studies in the Decorative Arts',</v>
      </c>
    </row>
    <row r="133" spans="1:9">
      <c r="A133" s="1" t="s">
        <v>131</v>
      </c>
      <c r="B133" s="3" t="str">
        <f ca="1">IFERROR(__xludf.DUMMYFUNCTION("SPLIT(A133,"","")"),"US")</f>
        <v>US</v>
      </c>
      <c r="C133" s="3" t="str">
        <f ca="1">IFERROR(__xludf.DUMMYFUNCTION("""COMPUTED_VALUE"""),"Barnard College - Columbia University")</f>
        <v>Barnard College - Columbia University</v>
      </c>
      <c r="D133" s="4" t="str">
        <f ca="1">IFERROR(__xludf.DUMMYFUNCTION("""COMPUTED_VALUE"""),"http://www.barnard.edu/")</f>
        <v>http://www.barnard.edu/</v>
      </c>
      <c r="G133" s="2" t="str">
        <f t="shared" ca="1" si="0"/>
        <v>Barnard College - Columbia University</v>
      </c>
      <c r="H133" s="5" t="str">
        <f t="shared" ca="1" si="1"/>
        <v>Barnard College - Columbia University</v>
      </c>
      <c r="I133" s="3" t="str">
        <f t="shared" ca="1" si="2"/>
        <v>'Barnard College - Columbia University',</v>
      </c>
    </row>
    <row r="134" spans="1:9">
      <c r="A134" s="1" t="s">
        <v>132</v>
      </c>
      <c r="B134" s="3" t="str">
        <f ca="1">IFERROR(__xludf.DUMMYFUNCTION("SPLIT(A134,"","")"),"US")</f>
        <v>US</v>
      </c>
      <c r="C134" s="3" t="str">
        <f ca="1">IFERROR(__xludf.DUMMYFUNCTION("""COMPUTED_VALUE"""),"Barry University")</f>
        <v>Barry University</v>
      </c>
      <c r="D134" s="4" t="str">
        <f ca="1">IFERROR(__xludf.DUMMYFUNCTION("""COMPUTED_VALUE"""),"http://www.barry.edu/")</f>
        <v>http://www.barry.edu/</v>
      </c>
      <c r="G134" s="2" t="str">
        <f t="shared" ca="1" si="0"/>
        <v>Barry University</v>
      </c>
      <c r="H134" s="5" t="str">
        <f t="shared" ca="1" si="1"/>
        <v>Barry University</v>
      </c>
      <c r="I134" s="3" t="str">
        <f t="shared" ca="1" si="2"/>
        <v>'Barry University',</v>
      </c>
    </row>
    <row r="135" spans="1:9">
      <c r="A135" s="1" t="s">
        <v>133</v>
      </c>
      <c r="B135" s="3" t="str">
        <f ca="1">IFERROR(__xludf.DUMMYFUNCTION("SPLIT(A135,"","")"),"US")</f>
        <v>US</v>
      </c>
      <c r="C135" s="3" t="str">
        <f ca="1">IFERROR(__xludf.DUMMYFUNCTION("""COMPUTED_VALUE"""),"Bartlesville Wesleyan College")</f>
        <v>Bartlesville Wesleyan College</v>
      </c>
      <c r="D135" s="4" t="str">
        <f ca="1">IFERROR(__xludf.DUMMYFUNCTION("""COMPUTED_VALUE"""),"http://www.bwc.edu/")</f>
        <v>http://www.bwc.edu/</v>
      </c>
      <c r="G135" s="2" t="str">
        <f t="shared" ca="1" si="0"/>
        <v>Bartlesville Wesleyan College</v>
      </c>
      <c r="H135" s="5" t="str">
        <f t="shared" ca="1" si="1"/>
        <v>Bartlesville Wesleyan College</v>
      </c>
      <c r="I135" s="3" t="str">
        <f t="shared" ca="1" si="2"/>
        <v>'Bartlesville Wesleyan College',</v>
      </c>
    </row>
    <row r="136" spans="1:9">
      <c r="A136" s="1" t="s">
        <v>134</v>
      </c>
      <c r="B136" s="3" t="str">
        <f ca="1">IFERROR(__xludf.DUMMYFUNCTION("SPLIT(A136,"","")"),"US")</f>
        <v>US</v>
      </c>
      <c r="C136" s="3" t="str">
        <f ca="1">IFERROR(__xludf.DUMMYFUNCTION("""COMPUTED_VALUE"""),"Barton College")</f>
        <v>Barton College</v>
      </c>
      <c r="D136" s="4" t="str">
        <f ca="1">IFERROR(__xludf.DUMMYFUNCTION("""COMPUTED_VALUE"""),"http://www.barton.edu/")</f>
        <v>http://www.barton.edu/</v>
      </c>
      <c r="G136" s="2" t="str">
        <f t="shared" ca="1" si="0"/>
        <v>Barton College</v>
      </c>
      <c r="H136" s="5" t="str">
        <f t="shared" ca="1" si="1"/>
        <v>Barton College</v>
      </c>
      <c r="I136" s="3" t="str">
        <f t="shared" ca="1" si="2"/>
        <v>'Barton College',</v>
      </c>
    </row>
    <row r="137" spans="1:9">
      <c r="A137" s="1" t="s">
        <v>135</v>
      </c>
      <c r="B137" s="3" t="str">
        <f ca="1">IFERROR(__xludf.DUMMYFUNCTION("SPLIT(A137,"","")"),"US")</f>
        <v>US</v>
      </c>
      <c r="C137" s="3" t="str">
        <f ca="1">IFERROR(__xludf.DUMMYFUNCTION("""COMPUTED_VALUE"""),"Bastyr University")</f>
        <v>Bastyr University</v>
      </c>
      <c r="D137" s="4" t="str">
        <f ca="1">IFERROR(__xludf.DUMMYFUNCTION("""COMPUTED_VALUE"""),"http://www.bastyr.edu/")</f>
        <v>http://www.bastyr.edu/</v>
      </c>
      <c r="G137" s="2" t="str">
        <f t="shared" ca="1" si="0"/>
        <v>Bastyr University</v>
      </c>
      <c r="H137" s="5" t="str">
        <f t="shared" ca="1" si="1"/>
        <v>Bastyr University</v>
      </c>
      <c r="I137" s="3" t="str">
        <f t="shared" ca="1" si="2"/>
        <v>'Bastyr University',</v>
      </c>
    </row>
    <row r="138" spans="1:9">
      <c r="A138" s="1" t="s">
        <v>136</v>
      </c>
      <c r="B138" s="3" t="str">
        <f ca="1">IFERROR(__xludf.DUMMYFUNCTION("SPLIT(A138,"","")"),"US")</f>
        <v>US</v>
      </c>
      <c r="C138" s="3" t="str">
        <f ca="1">IFERROR(__xludf.DUMMYFUNCTION("""COMPUTED_VALUE"""),"Bates College")</f>
        <v>Bates College</v>
      </c>
      <c r="D138" s="4" t="str">
        <f ca="1">IFERROR(__xludf.DUMMYFUNCTION("""COMPUTED_VALUE"""),"http://www.bates.edu/")</f>
        <v>http://www.bates.edu/</v>
      </c>
      <c r="G138" s="2" t="str">
        <f t="shared" ca="1" si="0"/>
        <v>Bates College</v>
      </c>
      <c r="H138" s="5" t="str">
        <f t="shared" ca="1" si="1"/>
        <v>Bates College</v>
      </c>
      <c r="I138" s="3" t="str">
        <f t="shared" ca="1" si="2"/>
        <v>'Bates College',</v>
      </c>
    </row>
    <row r="139" spans="1:9">
      <c r="A139" s="1" t="s">
        <v>137</v>
      </c>
      <c r="B139" s="3" t="str">
        <f ca="1">IFERROR(__xludf.DUMMYFUNCTION("SPLIT(A139,"","")"),"US")</f>
        <v>US</v>
      </c>
      <c r="C139" s="3" t="str">
        <f ca="1">IFERROR(__xludf.DUMMYFUNCTION("""COMPUTED_VALUE"""),"Bauder College")</f>
        <v>Bauder College</v>
      </c>
      <c r="D139" s="4" t="str">
        <f ca="1">IFERROR(__xludf.DUMMYFUNCTION("""COMPUTED_VALUE"""),"http://www.bauder.edu/")</f>
        <v>http://www.bauder.edu/</v>
      </c>
      <c r="G139" s="2" t="str">
        <f t="shared" ca="1" si="0"/>
        <v>Bauder College</v>
      </c>
      <c r="H139" s="5" t="str">
        <f t="shared" ca="1" si="1"/>
        <v>Bauder College</v>
      </c>
      <c r="I139" s="3" t="str">
        <f t="shared" ca="1" si="2"/>
        <v>'Bauder College',</v>
      </c>
    </row>
    <row r="140" spans="1:9">
      <c r="A140" s="1" t="s">
        <v>138</v>
      </c>
      <c r="B140" s="3" t="str">
        <f ca="1">IFERROR(__xludf.DUMMYFUNCTION("SPLIT(A140,"","")"),"US")</f>
        <v>US</v>
      </c>
      <c r="C140" s="3" t="str">
        <f ca="1">IFERROR(__xludf.DUMMYFUNCTION("""COMPUTED_VALUE"""),"Baylor College of Dentistry")</f>
        <v>Baylor College of Dentistry</v>
      </c>
      <c r="D140" s="4" t="str">
        <f ca="1">IFERROR(__xludf.DUMMYFUNCTION("""COMPUTED_VALUE"""),"http://www.tambcd.edu/")</f>
        <v>http://www.tambcd.edu/</v>
      </c>
      <c r="G140" s="2" t="str">
        <f t="shared" ca="1" si="0"/>
        <v>Baylor College of Dentistry</v>
      </c>
      <c r="H140" s="5" t="str">
        <f t="shared" ca="1" si="1"/>
        <v>Baylor College of Dentistry</v>
      </c>
      <c r="I140" s="3" t="str">
        <f t="shared" ca="1" si="2"/>
        <v>'Baylor College of Dentistry',</v>
      </c>
    </row>
    <row r="141" spans="1:9">
      <c r="A141" s="1" t="s">
        <v>139</v>
      </c>
      <c r="B141" s="3" t="str">
        <f ca="1">IFERROR(__xludf.DUMMYFUNCTION("SPLIT(A141,"","")"),"US")</f>
        <v>US</v>
      </c>
      <c r="C141" s="3" t="str">
        <f ca="1">IFERROR(__xludf.DUMMYFUNCTION("""COMPUTED_VALUE"""),"Baylor College of Medicine")</f>
        <v>Baylor College of Medicine</v>
      </c>
      <c r="D141" s="4" t="str">
        <f ca="1">IFERROR(__xludf.DUMMYFUNCTION("""COMPUTED_VALUE"""),"http://www.bcm.tmc.edu/")</f>
        <v>http://www.bcm.tmc.edu/</v>
      </c>
      <c r="G141" s="2" t="str">
        <f t="shared" ca="1" si="0"/>
        <v>Baylor College of Medicine</v>
      </c>
      <c r="H141" s="5" t="str">
        <f t="shared" ca="1" si="1"/>
        <v>Baylor College of Medicine</v>
      </c>
      <c r="I141" s="3" t="str">
        <f t="shared" ca="1" si="2"/>
        <v>'Baylor College of Medicine',</v>
      </c>
    </row>
    <row r="142" spans="1:9">
      <c r="A142" s="1" t="s">
        <v>140</v>
      </c>
      <c r="B142" s="3" t="str">
        <f ca="1">IFERROR(__xludf.DUMMYFUNCTION("SPLIT(A142,"","")"),"US")</f>
        <v>US</v>
      </c>
      <c r="C142" s="3" t="str">
        <f ca="1">IFERROR(__xludf.DUMMYFUNCTION("""COMPUTED_VALUE"""),"Baylor University")</f>
        <v>Baylor University</v>
      </c>
      <c r="D142" s="4" t="str">
        <f ca="1">IFERROR(__xludf.DUMMYFUNCTION("""COMPUTED_VALUE"""),"http://www.baylor.edu/")</f>
        <v>http://www.baylor.edu/</v>
      </c>
      <c r="G142" s="2" t="str">
        <f t="shared" ca="1" si="0"/>
        <v>Baylor University</v>
      </c>
      <c r="H142" s="5" t="str">
        <f t="shared" ca="1" si="1"/>
        <v>Baylor University</v>
      </c>
      <c r="I142" s="3" t="str">
        <f t="shared" ca="1" si="2"/>
        <v>'Baylor University',</v>
      </c>
    </row>
    <row r="143" spans="1:9">
      <c r="A143" s="1" t="s">
        <v>141</v>
      </c>
      <c r="B143" s="3" t="str">
        <f ca="1">IFERROR(__xludf.DUMMYFUNCTION("SPLIT(A143,"","")"),"US")</f>
        <v>US</v>
      </c>
      <c r="C143" s="3" t="str">
        <f ca="1">IFERROR(__xludf.DUMMYFUNCTION("""COMPUTED_VALUE"""),"Belhaven College")</f>
        <v>Belhaven College</v>
      </c>
      <c r="D143" s="4" t="str">
        <f ca="1">IFERROR(__xludf.DUMMYFUNCTION("""COMPUTED_VALUE"""),"http://www.belhaven.edu/")</f>
        <v>http://www.belhaven.edu/</v>
      </c>
      <c r="G143" s="2" t="str">
        <f t="shared" ca="1" si="0"/>
        <v>Belhaven College</v>
      </c>
      <c r="H143" s="5" t="str">
        <f t="shared" ca="1" si="1"/>
        <v>Belhaven College</v>
      </c>
      <c r="I143" s="3" t="str">
        <f t="shared" ca="1" si="2"/>
        <v>'Belhaven College',</v>
      </c>
    </row>
    <row r="144" spans="1:9">
      <c r="A144" s="1" t="s">
        <v>142</v>
      </c>
      <c r="B144" s="3" t="str">
        <f ca="1">IFERROR(__xludf.DUMMYFUNCTION("SPLIT(A144,"","")"),"US")</f>
        <v>US</v>
      </c>
      <c r="C144" s="3" t="str">
        <f ca="1">IFERROR(__xludf.DUMMYFUNCTION("""COMPUTED_VALUE"""),"Bellarmine College")</f>
        <v>Bellarmine College</v>
      </c>
      <c r="D144" s="4" t="str">
        <f ca="1">IFERROR(__xludf.DUMMYFUNCTION("""COMPUTED_VALUE"""),"http://www.bellarmine.edu/")</f>
        <v>http://www.bellarmine.edu/</v>
      </c>
      <c r="G144" s="2" t="str">
        <f t="shared" ca="1" si="0"/>
        <v>Bellarmine College</v>
      </c>
      <c r="H144" s="5" t="str">
        <f t="shared" ca="1" si="1"/>
        <v>Bellarmine College</v>
      </c>
      <c r="I144" s="3" t="str">
        <f t="shared" ca="1" si="2"/>
        <v>'Bellarmine College',</v>
      </c>
    </row>
    <row r="145" spans="1:9">
      <c r="A145" s="1" t="s">
        <v>143</v>
      </c>
      <c r="B145" s="3" t="str">
        <f ca="1">IFERROR(__xludf.DUMMYFUNCTION("SPLIT(A145,"","")"),"US")</f>
        <v>US</v>
      </c>
      <c r="C145" s="3" t="str">
        <f ca="1">IFERROR(__xludf.DUMMYFUNCTION("""COMPUTED_VALUE"""),"Bellevue University")</f>
        <v>Bellevue University</v>
      </c>
      <c r="D145" s="4" t="str">
        <f ca="1">IFERROR(__xludf.DUMMYFUNCTION("""COMPUTED_VALUE"""),"http://www.bellevue.edu/")</f>
        <v>http://www.bellevue.edu/</v>
      </c>
      <c r="G145" s="2" t="str">
        <f t="shared" ca="1" si="0"/>
        <v>Bellevue University</v>
      </c>
      <c r="H145" s="5" t="str">
        <f t="shared" ca="1" si="1"/>
        <v>Bellevue University</v>
      </c>
      <c r="I145" s="3" t="str">
        <f t="shared" ca="1" si="2"/>
        <v>'Bellevue University',</v>
      </c>
    </row>
    <row r="146" spans="1:9">
      <c r="A146" s="1" t="s">
        <v>144</v>
      </c>
      <c r="B146" s="3" t="str">
        <f ca="1">IFERROR(__xludf.DUMMYFUNCTION("SPLIT(A146,"","")"),"US")</f>
        <v>US</v>
      </c>
      <c r="C146" s="3" t="str">
        <f ca="1">IFERROR(__xludf.DUMMYFUNCTION("""COMPUTED_VALUE"""),"Bellin College of Nursing")</f>
        <v>Bellin College of Nursing</v>
      </c>
      <c r="D146" s="4" t="str">
        <f ca="1">IFERROR(__xludf.DUMMYFUNCTION("""COMPUTED_VALUE"""),"http://www.bellin.org/bcn/")</f>
        <v>http://www.bellin.org/bcn/</v>
      </c>
      <c r="G146" s="2" t="str">
        <f t="shared" ca="1" si="0"/>
        <v>Bellin College of Nursing</v>
      </c>
      <c r="H146" s="5" t="str">
        <f t="shared" ca="1" si="1"/>
        <v>Bellin College of Nursing</v>
      </c>
      <c r="I146" s="3" t="str">
        <f t="shared" ca="1" si="2"/>
        <v>'Bellin College of Nursing',</v>
      </c>
    </row>
    <row r="147" spans="1:9">
      <c r="A147" s="1" t="s">
        <v>145</v>
      </c>
      <c r="B147" s="3" t="str">
        <f ca="1">IFERROR(__xludf.DUMMYFUNCTION("SPLIT(A147,"","")"),"US")</f>
        <v>US</v>
      </c>
      <c r="C147" s="3" t="str">
        <f ca="1">IFERROR(__xludf.DUMMYFUNCTION("""COMPUTED_VALUE"""),"Belmont Abbey College")</f>
        <v>Belmont Abbey College</v>
      </c>
      <c r="D147" s="4" t="str">
        <f ca="1">IFERROR(__xludf.DUMMYFUNCTION("""COMPUTED_VALUE"""),"http://www.bac.edu/")</f>
        <v>http://www.bac.edu/</v>
      </c>
      <c r="G147" s="2" t="str">
        <f t="shared" ca="1" si="0"/>
        <v>Belmont Abbey College</v>
      </c>
      <c r="H147" s="5" t="str">
        <f t="shared" ca="1" si="1"/>
        <v>Belmont Abbey College</v>
      </c>
      <c r="I147" s="3" t="str">
        <f t="shared" ca="1" si="2"/>
        <v>'Belmont Abbey College',</v>
      </c>
    </row>
    <row r="148" spans="1:9">
      <c r="A148" s="1" t="s">
        <v>146</v>
      </c>
      <c r="B148" s="3" t="str">
        <f ca="1">IFERROR(__xludf.DUMMYFUNCTION("SPLIT(A148,"","")"),"US")</f>
        <v>US</v>
      </c>
      <c r="C148" s="3" t="str">
        <f ca="1">IFERROR(__xludf.DUMMYFUNCTION("""COMPUTED_VALUE"""),"Belmont University")</f>
        <v>Belmont University</v>
      </c>
      <c r="D148" s="4" t="str">
        <f ca="1">IFERROR(__xludf.DUMMYFUNCTION("""COMPUTED_VALUE"""),"http://www.belmont.edu/")</f>
        <v>http://www.belmont.edu/</v>
      </c>
      <c r="G148" s="2" t="str">
        <f t="shared" ca="1" si="0"/>
        <v>Belmont University</v>
      </c>
      <c r="H148" s="5" t="str">
        <f t="shared" ca="1" si="1"/>
        <v>Belmont University</v>
      </c>
      <c r="I148" s="3" t="str">
        <f t="shared" ca="1" si="2"/>
        <v>'Belmont University',</v>
      </c>
    </row>
    <row r="149" spans="1:9">
      <c r="A149" s="1" t="s">
        <v>147</v>
      </c>
      <c r="B149" s="3" t="str">
        <f ca="1">IFERROR(__xludf.DUMMYFUNCTION("SPLIT(A149,"","")"),"US")</f>
        <v>US</v>
      </c>
      <c r="C149" s="3" t="str">
        <f ca="1">IFERROR(__xludf.DUMMYFUNCTION("""COMPUTED_VALUE"""),"Beloit College")</f>
        <v>Beloit College</v>
      </c>
      <c r="D149" s="4" t="str">
        <f ca="1">IFERROR(__xludf.DUMMYFUNCTION("""COMPUTED_VALUE"""),"http://www.beloit.edu/")</f>
        <v>http://www.beloit.edu/</v>
      </c>
      <c r="G149" s="2" t="str">
        <f t="shared" ca="1" si="0"/>
        <v>Beloit College</v>
      </c>
      <c r="H149" s="5" t="str">
        <f t="shared" ca="1" si="1"/>
        <v>Beloit College</v>
      </c>
      <c r="I149" s="3" t="str">
        <f t="shared" ca="1" si="2"/>
        <v>'Beloit College',</v>
      </c>
    </row>
    <row r="150" spans="1:9">
      <c r="A150" s="1" t="s">
        <v>148</v>
      </c>
      <c r="B150" s="3" t="str">
        <f ca="1">IFERROR(__xludf.DUMMYFUNCTION("SPLIT(A150,"","")"),"US")</f>
        <v>US</v>
      </c>
      <c r="C150" s="3" t="str">
        <f ca="1">IFERROR(__xludf.DUMMYFUNCTION("""COMPUTED_VALUE"""),"Bemidji State Univeristy")</f>
        <v>Bemidji State Univeristy</v>
      </c>
      <c r="D150" s="4" t="str">
        <f ca="1">IFERROR(__xludf.DUMMYFUNCTION("""COMPUTED_VALUE"""),"http://www.bemidji.msus.edu/")</f>
        <v>http://www.bemidji.msus.edu/</v>
      </c>
      <c r="G150" s="2" t="str">
        <f t="shared" ca="1" si="0"/>
        <v>Bemidji State Univeristy</v>
      </c>
      <c r="H150" s="5" t="str">
        <f t="shared" ca="1" si="1"/>
        <v>Bemidji State Univeristy</v>
      </c>
      <c r="I150" s="3" t="str">
        <f t="shared" ca="1" si="2"/>
        <v>'Bemidji State Univeristy',</v>
      </c>
    </row>
    <row r="151" spans="1:9">
      <c r="A151" s="1" t="s">
        <v>149</v>
      </c>
      <c r="B151" s="3" t="str">
        <f ca="1">IFERROR(__xludf.DUMMYFUNCTION("SPLIT(A151,"","")"),"US")</f>
        <v>US</v>
      </c>
      <c r="C151" s="3" t="str">
        <f ca="1">IFERROR(__xludf.DUMMYFUNCTION("""COMPUTED_VALUE"""),"Benedict College")</f>
        <v>Benedict College</v>
      </c>
      <c r="D151" s="4" t="str">
        <f ca="1">IFERROR(__xludf.DUMMYFUNCTION("""COMPUTED_VALUE"""),"http://www.benedict.edu/")</f>
        <v>http://www.benedict.edu/</v>
      </c>
      <c r="G151" s="2" t="str">
        <f t="shared" ca="1" si="0"/>
        <v>Benedict College</v>
      </c>
      <c r="H151" s="5" t="str">
        <f t="shared" ca="1" si="1"/>
        <v>Benedict College</v>
      </c>
      <c r="I151" s="3" t="str">
        <f t="shared" ca="1" si="2"/>
        <v>'Benedict College',</v>
      </c>
    </row>
    <row r="152" spans="1:9">
      <c r="A152" s="1" t="s">
        <v>150</v>
      </c>
      <c r="B152" s="3" t="str">
        <f ca="1">IFERROR(__xludf.DUMMYFUNCTION("SPLIT(A152,"","")"),"US")</f>
        <v>US</v>
      </c>
      <c r="C152" s="3" t="str">
        <f ca="1">IFERROR(__xludf.DUMMYFUNCTION("""COMPUTED_VALUE"""),"Benedictine College")</f>
        <v>Benedictine College</v>
      </c>
      <c r="D152" s="4" t="str">
        <f ca="1">IFERROR(__xludf.DUMMYFUNCTION("""COMPUTED_VALUE"""),"http://www.benedictine.edu/")</f>
        <v>http://www.benedictine.edu/</v>
      </c>
      <c r="G152" s="2" t="str">
        <f t="shared" ca="1" si="0"/>
        <v>Benedictine College</v>
      </c>
      <c r="H152" s="5" t="str">
        <f t="shared" ca="1" si="1"/>
        <v>Benedictine College</v>
      </c>
      <c r="I152" s="3" t="str">
        <f t="shared" ca="1" si="2"/>
        <v>'Benedictine College',</v>
      </c>
    </row>
    <row r="153" spans="1:9">
      <c r="A153" s="1" t="s">
        <v>151</v>
      </c>
      <c r="B153" s="3" t="str">
        <f ca="1">IFERROR(__xludf.DUMMYFUNCTION("SPLIT(A153,"","")"),"US")</f>
        <v>US</v>
      </c>
      <c r="C153" s="3" t="str">
        <f ca="1">IFERROR(__xludf.DUMMYFUNCTION("""COMPUTED_VALUE"""),"Benedictine University")</f>
        <v>Benedictine University</v>
      </c>
      <c r="D153" s="4" t="str">
        <f ca="1">IFERROR(__xludf.DUMMYFUNCTION("""COMPUTED_VALUE"""),"http://www.ben.edu/")</f>
        <v>http://www.ben.edu/</v>
      </c>
      <c r="G153" s="2" t="str">
        <f t="shared" ca="1" si="0"/>
        <v>Benedictine University</v>
      </c>
      <c r="H153" s="5" t="str">
        <f t="shared" ca="1" si="1"/>
        <v>Benedictine University</v>
      </c>
      <c r="I153" s="3" t="str">
        <f t="shared" ca="1" si="2"/>
        <v>'Benedictine University',</v>
      </c>
    </row>
    <row r="154" spans="1:9">
      <c r="A154" s="1" t="s">
        <v>152</v>
      </c>
      <c r="B154" s="3" t="str">
        <f ca="1">IFERROR(__xludf.DUMMYFUNCTION("SPLIT(A154,"","")"),"US")</f>
        <v>US</v>
      </c>
      <c r="C154" s="3" t="str">
        <f ca="1">IFERROR(__xludf.DUMMYFUNCTION("""COMPUTED_VALUE"""),"""Benedictine University")</f>
        <v>"Benedictine University</v>
      </c>
      <c r="D154" s="3" t="str">
        <f ca="1">IFERROR(__xludf.DUMMYFUNCTION("""COMPUTED_VALUE""")," Springfield College in Illinois""")</f>
        <v xml:space="preserve"> Springfield College in Illinois"</v>
      </c>
      <c r="E154" s="4" t="str">
        <f ca="1">IFERROR(__xludf.DUMMYFUNCTION("""COMPUTED_VALUE"""),"http://www.sci.edu/")</f>
        <v>http://www.sci.edu/</v>
      </c>
      <c r="G154" s="2" t="str">
        <f t="shared" ca="1" si="0"/>
        <v>"Benedictine University</v>
      </c>
      <c r="H154" s="5" t="str">
        <f t="shared" ca="1" si="1"/>
        <v>Benedictine University</v>
      </c>
      <c r="I154" s="3" t="str">
        <f t="shared" ca="1" si="2"/>
        <v>'Benedictine University',</v>
      </c>
    </row>
    <row r="155" spans="1:9">
      <c r="A155" s="1" t="s">
        <v>153</v>
      </c>
      <c r="B155" s="3" t="str">
        <f ca="1">IFERROR(__xludf.DUMMYFUNCTION("SPLIT(A155,"","")"),"US")</f>
        <v>US</v>
      </c>
      <c r="C155" s="3" t="str">
        <f ca="1">IFERROR(__xludf.DUMMYFUNCTION("""COMPUTED_VALUE"""),"Bennett College")</f>
        <v>Bennett College</v>
      </c>
      <c r="D155" s="4" t="str">
        <f ca="1">IFERROR(__xludf.DUMMYFUNCTION("""COMPUTED_VALUE"""),"http://www.bennett.edu/")</f>
        <v>http://www.bennett.edu/</v>
      </c>
      <c r="G155" s="2" t="str">
        <f t="shared" ca="1" si="0"/>
        <v>Bennett College</v>
      </c>
      <c r="H155" s="5" t="str">
        <f t="shared" ca="1" si="1"/>
        <v>Bennett College</v>
      </c>
      <c r="I155" s="3" t="str">
        <f t="shared" ca="1" si="2"/>
        <v>'Bennett College',</v>
      </c>
    </row>
    <row r="156" spans="1:9">
      <c r="A156" s="1" t="s">
        <v>154</v>
      </c>
      <c r="B156" s="3" t="str">
        <f ca="1">IFERROR(__xludf.DUMMYFUNCTION("SPLIT(A156,"","")"),"US")</f>
        <v>US</v>
      </c>
      <c r="C156" s="3" t="str">
        <f ca="1">IFERROR(__xludf.DUMMYFUNCTION("""COMPUTED_VALUE"""),"Bennington College")</f>
        <v>Bennington College</v>
      </c>
      <c r="D156" s="4" t="str">
        <f ca="1">IFERROR(__xludf.DUMMYFUNCTION("""COMPUTED_VALUE"""),"http://www.bennington.edu/")</f>
        <v>http://www.bennington.edu/</v>
      </c>
      <c r="G156" s="2" t="str">
        <f t="shared" ca="1" si="0"/>
        <v>Bennington College</v>
      </c>
      <c r="H156" s="5" t="str">
        <f t="shared" ca="1" si="1"/>
        <v>Bennington College</v>
      </c>
      <c r="I156" s="3" t="str">
        <f t="shared" ca="1" si="2"/>
        <v>'Bennington College',</v>
      </c>
    </row>
    <row r="157" spans="1:9">
      <c r="A157" s="1" t="s">
        <v>155</v>
      </c>
      <c r="B157" s="3" t="str">
        <f ca="1">IFERROR(__xludf.DUMMYFUNCTION("SPLIT(A157,"","")"),"US")</f>
        <v>US</v>
      </c>
      <c r="C157" s="3" t="str">
        <f ca="1">IFERROR(__xludf.DUMMYFUNCTION("""COMPUTED_VALUE"""),"Bentley College")</f>
        <v>Bentley College</v>
      </c>
      <c r="D157" s="4" t="str">
        <f ca="1">IFERROR(__xludf.DUMMYFUNCTION("""COMPUTED_VALUE"""),"http://www.bentley.edu/")</f>
        <v>http://www.bentley.edu/</v>
      </c>
      <c r="G157" s="2" t="str">
        <f t="shared" ca="1" si="0"/>
        <v>Bentley College</v>
      </c>
      <c r="H157" s="5" t="str">
        <f t="shared" ca="1" si="1"/>
        <v>Bentley College</v>
      </c>
      <c r="I157" s="3" t="str">
        <f t="shared" ca="1" si="2"/>
        <v>'Bentley College',</v>
      </c>
    </row>
    <row r="158" spans="1:9">
      <c r="A158" s="1" t="s">
        <v>156</v>
      </c>
      <c r="B158" s="3" t="str">
        <f ca="1">IFERROR(__xludf.DUMMYFUNCTION("SPLIT(A158,"","")"),"US")</f>
        <v>US</v>
      </c>
      <c r="C158" s="3" t="str">
        <f ca="1">IFERROR(__xludf.DUMMYFUNCTION("""COMPUTED_VALUE"""),"Berea College")</f>
        <v>Berea College</v>
      </c>
      <c r="D158" s="4" t="str">
        <f ca="1">IFERROR(__xludf.DUMMYFUNCTION("""COMPUTED_VALUE"""),"http://www.berea.edu/")</f>
        <v>http://www.berea.edu/</v>
      </c>
      <c r="G158" s="2" t="str">
        <f t="shared" ca="1" si="0"/>
        <v>Berea College</v>
      </c>
      <c r="H158" s="5" t="str">
        <f t="shared" ca="1" si="1"/>
        <v>Berea College</v>
      </c>
      <c r="I158" s="3" t="str">
        <f t="shared" ca="1" si="2"/>
        <v>'Berea College',</v>
      </c>
    </row>
    <row r="159" spans="1:9">
      <c r="A159" s="1" t="s">
        <v>157</v>
      </c>
      <c r="B159" s="3" t="str">
        <f ca="1">IFERROR(__xludf.DUMMYFUNCTION("SPLIT(A159,"","")"),"US")</f>
        <v>US</v>
      </c>
      <c r="C159" s="3" t="str">
        <f ca="1">IFERROR(__xludf.DUMMYFUNCTION("""COMPUTED_VALUE"""),"Berean University of the Assemblies of God")</f>
        <v>Berean University of the Assemblies of God</v>
      </c>
      <c r="D159" s="4" t="str">
        <f ca="1">IFERROR(__xludf.DUMMYFUNCTION("""COMPUTED_VALUE"""),"http://www.berean.edu/")</f>
        <v>http://www.berean.edu/</v>
      </c>
      <c r="G159" s="2" t="str">
        <f t="shared" ca="1" si="0"/>
        <v>Berean University of the Assemblies of God</v>
      </c>
      <c r="H159" s="5" t="str">
        <f t="shared" ca="1" si="1"/>
        <v>Berean University of the Assemblies of God</v>
      </c>
      <c r="I159" s="3" t="str">
        <f t="shared" ca="1" si="2"/>
        <v>'Berean University of the Assemblies of God',</v>
      </c>
    </row>
    <row r="160" spans="1:9">
      <c r="A160" s="1" t="s">
        <v>158</v>
      </c>
      <c r="B160" s="3" t="str">
        <f ca="1">IFERROR(__xludf.DUMMYFUNCTION("SPLIT(A160,"","")"),"US")</f>
        <v>US</v>
      </c>
      <c r="C160" s="3" t="str">
        <f ca="1">IFERROR(__xludf.DUMMYFUNCTION("""COMPUTED_VALUE"""),"Berklee College of Music")</f>
        <v>Berklee College of Music</v>
      </c>
      <c r="D160" s="4" t="str">
        <f ca="1">IFERROR(__xludf.DUMMYFUNCTION("""COMPUTED_VALUE"""),"http://www.berklee.edu/")</f>
        <v>http://www.berklee.edu/</v>
      </c>
      <c r="G160" s="2" t="str">
        <f t="shared" ca="1" si="0"/>
        <v>Berklee College of Music</v>
      </c>
      <c r="H160" s="5" t="str">
        <f t="shared" ca="1" si="1"/>
        <v>Berklee College of Music</v>
      </c>
      <c r="I160" s="3" t="str">
        <f t="shared" ca="1" si="2"/>
        <v>'Berklee College of Music',</v>
      </c>
    </row>
    <row r="161" spans="1:9">
      <c r="A161" s="1" t="s">
        <v>159</v>
      </c>
      <c r="B161" s="3" t="str">
        <f ca="1">IFERROR(__xludf.DUMMYFUNCTION("SPLIT(A161,"","")"),"US")</f>
        <v>US</v>
      </c>
      <c r="C161" s="3" t="str">
        <f ca="1">IFERROR(__xludf.DUMMYFUNCTION("""COMPUTED_VALUE"""),"Berne University")</f>
        <v>Berne University</v>
      </c>
      <c r="D161" s="4" t="str">
        <f ca="1">IFERROR(__xludf.DUMMYFUNCTION("""COMPUTED_VALUE"""),"http://www.berne.edu/")</f>
        <v>http://www.berne.edu/</v>
      </c>
      <c r="G161" s="2" t="str">
        <f t="shared" ca="1" si="0"/>
        <v>Berne University</v>
      </c>
      <c r="H161" s="5" t="str">
        <f t="shared" ca="1" si="1"/>
        <v>Berne University</v>
      </c>
      <c r="I161" s="3" t="str">
        <f t="shared" ca="1" si="2"/>
        <v>'Berne University',</v>
      </c>
    </row>
    <row r="162" spans="1:9">
      <c r="A162" s="1" t="s">
        <v>160</v>
      </c>
      <c r="B162" s="3" t="str">
        <f ca="1">IFERROR(__xludf.DUMMYFUNCTION("SPLIT(A162,"","")"),"US")</f>
        <v>US</v>
      </c>
      <c r="C162" s="3" t="str">
        <f ca="1">IFERROR(__xludf.DUMMYFUNCTION("""COMPUTED_VALUE"""),"Berry College")</f>
        <v>Berry College</v>
      </c>
      <c r="D162" s="4" t="str">
        <f ca="1">IFERROR(__xludf.DUMMYFUNCTION("""COMPUTED_VALUE"""),"http://www.berry.edu/")</f>
        <v>http://www.berry.edu/</v>
      </c>
      <c r="G162" s="2" t="str">
        <f t="shared" ca="1" si="0"/>
        <v>Berry College</v>
      </c>
      <c r="H162" s="5" t="str">
        <f t="shared" ca="1" si="1"/>
        <v>Berry College</v>
      </c>
      <c r="I162" s="3" t="str">
        <f t="shared" ca="1" si="2"/>
        <v>'Berry College',</v>
      </c>
    </row>
    <row r="163" spans="1:9">
      <c r="A163" s="1" t="s">
        <v>161</v>
      </c>
      <c r="B163" s="3" t="str">
        <f ca="1">IFERROR(__xludf.DUMMYFUNCTION("SPLIT(A163,"","")"),"US")</f>
        <v>US</v>
      </c>
      <c r="C163" s="3" t="str">
        <f ca="1">IFERROR(__xludf.DUMMYFUNCTION("""COMPUTED_VALUE"""),"Bethany College California")</f>
        <v>Bethany College California</v>
      </c>
      <c r="D163" s="4" t="str">
        <f ca="1">IFERROR(__xludf.DUMMYFUNCTION("""COMPUTED_VALUE"""),"http://www.bethany.edu/")</f>
        <v>http://www.bethany.edu/</v>
      </c>
      <c r="G163" s="2" t="str">
        <f t="shared" ca="1" si="0"/>
        <v>Bethany College California</v>
      </c>
      <c r="H163" s="5" t="str">
        <f t="shared" ca="1" si="1"/>
        <v>Bethany College California</v>
      </c>
      <c r="I163" s="3" t="str">
        <f t="shared" ca="1" si="2"/>
        <v>'Bethany College California',</v>
      </c>
    </row>
    <row r="164" spans="1:9">
      <c r="A164" s="1" t="s">
        <v>162</v>
      </c>
      <c r="B164" s="3" t="str">
        <f ca="1">IFERROR(__xludf.DUMMYFUNCTION("SPLIT(A164,"","")"),"US")</f>
        <v>US</v>
      </c>
      <c r="C164" s="3" t="str">
        <f ca="1">IFERROR(__xludf.DUMMYFUNCTION("""COMPUTED_VALUE"""),"Bethany College Kansas")</f>
        <v>Bethany College Kansas</v>
      </c>
      <c r="D164" s="4" t="str">
        <f ca="1">IFERROR(__xludf.DUMMYFUNCTION("""COMPUTED_VALUE"""),"http://www.bethanylb.edu/")</f>
        <v>http://www.bethanylb.edu/</v>
      </c>
      <c r="G164" s="2" t="str">
        <f t="shared" ca="1" si="0"/>
        <v>Bethany College Kansas</v>
      </c>
      <c r="H164" s="5" t="str">
        <f t="shared" ca="1" si="1"/>
        <v>Bethany College Kansas</v>
      </c>
      <c r="I164" s="3" t="str">
        <f t="shared" ca="1" si="2"/>
        <v>'Bethany College Kansas',</v>
      </c>
    </row>
    <row r="165" spans="1:9">
      <c r="A165" s="1" t="s">
        <v>163</v>
      </c>
      <c r="B165" s="3" t="str">
        <f ca="1">IFERROR(__xludf.DUMMYFUNCTION("SPLIT(A165,"","")"),"US")</f>
        <v>US</v>
      </c>
      <c r="C165" s="3" t="str">
        <f ca="1">IFERROR(__xludf.DUMMYFUNCTION("""COMPUTED_VALUE"""),"Bethany College West Virginia")</f>
        <v>Bethany College West Virginia</v>
      </c>
      <c r="D165" s="4" t="str">
        <f ca="1">IFERROR(__xludf.DUMMYFUNCTION("""COMPUTED_VALUE"""),"http://www.bethany.wvnet.edu/")</f>
        <v>http://www.bethany.wvnet.edu/</v>
      </c>
      <c r="G165" s="2" t="str">
        <f t="shared" ca="1" si="0"/>
        <v>Bethany College West Virginia</v>
      </c>
      <c r="H165" s="5" t="str">
        <f t="shared" ca="1" si="1"/>
        <v>Bethany College West Virginia</v>
      </c>
      <c r="I165" s="3" t="str">
        <f t="shared" ca="1" si="2"/>
        <v>'Bethany College West Virginia',</v>
      </c>
    </row>
    <row r="166" spans="1:9">
      <c r="A166" s="1" t="s">
        <v>164</v>
      </c>
      <c r="B166" s="3" t="str">
        <f ca="1">IFERROR(__xludf.DUMMYFUNCTION("SPLIT(A166,"","")"),"US")</f>
        <v>US</v>
      </c>
      <c r="C166" s="3" t="str">
        <f ca="1">IFERROR(__xludf.DUMMYFUNCTION("""COMPUTED_VALUE"""),"Bethel College McKenzie")</f>
        <v>Bethel College McKenzie</v>
      </c>
      <c r="D166" s="4" t="str">
        <f ca="1">IFERROR(__xludf.DUMMYFUNCTION("""COMPUTED_VALUE"""),"http://www.bethel-college.edu/")</f>
        <v>http://www.bethel-college.edu/</v>
      </c>
      <c r="G166" s="2" t="str">
        <f t="shared" ca="1" si="0"/>
        <v>Bethel College McKenzie</v>
      </c>
      <c r="H166" s="5" t="str">
        <f t="shared" ca="1" si="1"/>
        <v>Bethel College McKenzie</v>
      </c>
      <c r="I166" s="3" t="str">
        <f t="shared" ca="1" si="2"/>
        <v>'Bethel College McKenzie',</v>
      </c>
    </row>
    <row r="167" spans="1:9">
      <c r="A167" s="1" t="s">
        <v>165</v>
      </c>
      <c r="B167" s="3" t="str">
        <f ca="1">IFERROR(__xludf.DUMMYFUNCTION("SPLIT(A167,"","")"),"US")</f>
        <v>US</v>
      </c>
      <c r="C167" s="3" t="str">
        <f ca="1">IFERROR(__xludf.DUMMYFUNCTION("""COMPUTED_VALUE"""),"Bethel College Mishawaka")</f>
        <v>Bethel College Mishawaka</v>
      </c>
      <c r="D167" s="4" t="str">
        <f ca="1">IFERROR(__xludf.DUMMYFUNCTION("""COMPUTED_VALUE"""),"http://www.bethel-in.edu/")</f>
        <v>http://www.bethel-in.edu/</v>
      </c>
      <c r="G167" s="2" t="str">
        <f t="shared" ca="1" si="0"/>
        <v>Bethel College Mishawaka</v>
      </c>
      <c r="H167" s="5" t="str">
        <f t="shared" ca="1" si="1"/>
        <v>Bethel College Mishawaka</v>
      </c>
      <c r="I167" s="3" t="str">
        <f t="shared" ca="1" si="2"/>
        <v>'Bethel College Mishawaka',</v>
      </c>
    </row>
    <row r="168" spans="1:9">
      <c r="A168" s="1" t="s">
        <v>166</v>
      </c>
      <c r="B168" s="3" t="str">
        <f ca="1">IFERROR(__xludf.DUMMYFUNCTION("SPLIT(A168,"","")"),"US")</f>
        <v>US</v>
      </c>
      <c r="C168" s="3" t="str">
        <f ca="1">IFERROR(__xludf.DUMMYFUNCTION("""COMPUTED_VALUE"""),"Bethel College Newton")</f>
        <v>Bethel College Newton</v>
      </c>
      <c r="D168" s="4" t="str">
        <f ca="1">IFERROR(__xludf.DUMMYFUNCTION("""COMPUTED_VALUE"""),"http://www.bethelks.edu/")</f>
        <v>http://www.bethelks.edu/</v>
      </c>
      <c r="G168" s="2" t="str">
        <f t="shared" ca="1" si="0"/>
        <v>Bethel College Newton</v>
      </c>
      <c r="H168" s="5" t="str">
        <f t="shared" ca="1" si="1"/>
        <v>Bethel College Newton</v>
      </c>
      <c r="I168" s="3" t="str">
        <f t="shared" ca="1" si="2"/>
        <v>'Bethel College Newton',</v>
      </c>
    </row>
    <row r="169" spans="1:9">
      <c r="A169" s="1" t="s">
        <v>167</v>
      </c>
      <c r="B169" s="3" t="str">
        <f ca="1">IFERROR(__xludf.DUMMYFUNCTION("SPLIT(A169,"","")"),"US")</f>
        <v>US</v>
      </c>
      <c r="C169" s="3" t="str">
        <f ca="1">IFERROR(__xludf.DUMMYFUNCTION("""COMPUTED_VALUE"""),"Beth-El College of Nursing and Health Sciences")</f>
        <v>Beth-El College of Nursing and Health Sciences</v>
      </c>
      <c r="D169" s="4" t="str">
        <f ca="1">IFERROR(__xludf.DUMMYFUNCTION("""COMPUTED_VALUE"""),"http://www.uccs.edu/~bethel/")</f>
        <v>http://www.uccs.edu/~bethel/</v>
      </c>
      <c r="G169" s="2" t="str">
        <f t="shared" ca="1" si="0"/>
        <v>Beth-El College of Nursing and Health Sciences</v>
      </c>
      <c r="H169" s="5" t="str">
        <f t="shared" ca="1" si="1"/>
        <v>Beth-El College of Nursing and Health Sciences</v>
      </c>
      <c r="I169" s="3" t="str">
        <f t="shared" ca="1" si="2"/>
        <v>'Beth-El College of Nursing and Health Sciences',</v>
      </c>
    </row>
    <row r="170" spans="1:9">
      <c r="A170" s="1" t="s">
        <v>168</v>
      </c>
      <c r="B170" s="3" t="str">
        <f ca="1">IFERROR(__xludf.DUMMYFUNCTION("SPLIT(A170,"","")"),"US")</f>
        <v>US</v>
      </c>
      <c r="C170" s="3" t="str">
        <f ca="1">IFERROR(__xludf.DUMMYFUNCTION("""COMPUTED_VALUE"""),"Bethel College St. Paul")</f>
        <v>Bethel College St. Paul</v>
      </c>
      <c r="D170" s="4" t="str">
        <f ca="1">IFERROR(__xludf.DUMMYFUNCTION("""COMPUTED_VALUE"""),"http://www.bethel.edu/")</f>
        <v>http://www.bethel.edu/</v>
      </c>
      <c r="G170" s="2" t="str">
        <f t="shared" ca="1" si="0"/>
        <v>Bethel College St. Paul</v>
      </c>
      <c r="H170" s="5" t="str">
        <f t="shared" ca="1" si="1"/>
        <v>Bethel College St. Paul</v>
      </c>
      <c r="I170" s="3" t="str">
        <f t="shared" ca="1" si="2"/>
        <v>'Bethel College St. Paul',</v>
      </c>
    </row>
    <row r="171" spans="1:9">
      <c r="A171" s="1" t="s">
        <v>169</v>
      </c>
      <c r="B171" s="3" t="str">
        <f ca="1">IFERROR(__xludf.DUMMYFUNCTION("SPLIT(A171,"","")"),"US")</f>
        <v>US</v>
      </c>
      <c r="C171" s="3" t="str">
        <f ca="1">IFERROR(__xludf.DUMMYFUNCTION("""COMPUTED_VALUE"""),"Bethune-Cookman College")</f>
        <v>Bethune-Cookman College</v>
      </c>
      <c r="D171" s="4" t="str">
        <f ca="1">IFERROR(__xludf.DUMMYFUNCTION("""COMPUTED_VALUE"""),"http://www.bethune.cookman.edu/")</f>
        <v>http://www.bethune.cookman.edu/</v>
      </c>
      <c r="G171" s="2" t="str">
        <f t="shared" ca="1" si="0"/>
        <v>Bethune-Cookman College</v>
      </c>
      <c r="H171" s="5" t="str">
        <f t="shared" ca="1" si="1"/>
        <v>Bethune-Cookman College</v>
      </c>
      <c r="I171" s="3" t="str">
        <f t="shared" ca="1" si="2"/>
        <v>'Bethune-Cookman College',</v>
      </c>
    </row>
    <row r="172" spans="1:9">
      <c r="A172" s="1" t="s">
        <v>170</v>
      </c>
      <c r="B172" s="3" t="str">
        <f ca="1">IFERROR(__xludf.DUMMYFUNCTION("SPLIT(A172,"","")"),"US")</f>
        <v>US</v>
      </c>
      <c r="C172" s="3" t="str">
        <f ca="1">IFERROR(__xludf.DUMMYFUNCTION("""COMPUTED_VALUE"""),"Biola University")</f>
        <v>Biola University</v>
      </c>
      <c r="D172" s="4" t="str">
        <f ca="1">IFERROR(__xludf.DUMMYFUNCTION("""COMPUTED_VALUE"""),"http://www.biola.edu/")</f>
        <v>http://www.biola.edu/</v>
      </c>
      <c r="G172" s="2" t="str">
        <f t="shared" ca="1" si="0"/>
        <v>Biola University</v>
      </c>
      <c r="H172" s="5" t="str">
        <f t="shared" ca="1" si="1"/>
        <v>Biola University</v>
      </c>
      <c r="I172" s="3" t="str">
        <f t="shared" ca="1" si="2"/>
        <v>'Biola University',</v>
      </c>
    </row>
    <row r="173" spans="1:9">
      <c r="A173" s="1" t="s">
        <v>171</v>
      </c>
      <c r="B173" s="3" t="str">
        <f ca="1">IFERROR(__xludf.DUMMYFUNCTION("SPLIT(A173,"","")"),"US")</f>
        <v>US</v>
      </c>
      <c r="C173" s="3" t="str">
        <f ca="1">IFERROR(__xludf.DUMMYFUNCTION("""COMPUTED_VALUE"""),"Birmingham-Southern College")</f>
        <v>Birmingham-Southern College</v>
      </c>
      <c r="D173" s="4" t="str">
        <f ca="1">IFERROR(__xludf.DUMMYFUNCTION("""COMPUTED_VALUE"""),"http://www.bsc.edu/")</f>
        <v>http://www.bsc.edu/</v>
      </c>
      <c r="G173" s="2" t="str">
        <f t="shared" ca="1" si="0"/>
        <v>Birmingham-Southern College</v>
      </c>
      <c r="H173" s="5" t="str">
        <f t="shared" ca="1" si="1"/>
        <v>Birmingham-Southern College</v>
      </c>
      <c r="I173" s="3" t="str">
        <f t="shared" ca="1" si="2"/>
        <v>'Birmingham-Southern College',</v>
      </c>
    </row>
    <row r="174" spans="1:9">
      <c r="A174" s="1" t="s">
        <v>172</v>
      </c>
      <c r="B174" s="3" t="str">
        <f ca="1">IFERROR(__xludf.DUMMYFUNCTION("SPLIT(A174,"","")"),"US")</f>
        <v>US</v>
      </c>
      <c r="C174" s="3" t="str">
        <f ca="1">IFERROR(__xludf.DUMMYFUNCTION("""COMPUTED_VALUE"""),"Blackburn College")</f>
        <v>Blackburn College</v>
      </c>
      <c r="D174" s="4" t="str">
        <f ca="1">IFERROR(__xludf.DUMMYFUNCTION("""COMPUTED_VALUE"""),"http://www.blackburn.edu/")</f>
        <v>http://www.blackburn.edu/</v>
      </c>
      <c r="G174" s="2" t="str">
        <f t="shared" ca="1" si="0"/>
        <v>Blackburn College</v>
      </c>
      <c r="H174" s="5" t="str">
        <f t="shared" ca="1" si="1"/>
        <v>Blackburn College</v>
      </c>
      <c r="I174" s="3" t="str">
        <f t="shared" ca="1" si="2"/>
        <v>'Blackburn College',</v>
      </c>
    </row>
    <row r="175" spans="1:9">
      <c r="A175" s="1" t="s">
        <v>173</v>
      </c>
      <c r="B175" s="3" t="str">
        <f ca="1">IFERROR(__xludf.DUMMYFUNCTION("SPLIT(A175,"","")"),"US")</f>
        <v>US</v>
      </c>
      <c r="C175" s="3" t="str">
        <f ca="1">IFERROR(__xludf.DUMMYFUNCTION("""COMPUTED_VALUE"""),"Black Hawk College")</f>
        <v>Black Hawk College</v>
      </c>
      <c r="D175" s="4" t="str">
        <f ca="1">IFERROR(__xludf.DUMMYFUNCTION("""COMPUTED_VALUE"""),"http://www.bhc.edu/")</f>
        <v>http://www.bhc.edu/</v>
      </c>
      <c r="G175" s="2" t="str">
        <f t="shared" ca="1" si="0"/>
        <v>Black Hawk College</v>
      </c>
      <c r="H175" s="5" t="str">
        <f t="shared" ca="1" si="1"/>
        <v>Black Hawk College</v>
      </c>
      <c r="I175" s="3" t="str">
        <f t="shared" ca="1" si="2"/>
        <v>'Black Hawk College',</v>
      </c>
    </row>
    <row r="176" spans="1:9">
      <c r="A176" s="1" t="s">
        <v>174</v>
      </c>
      <c r="B176" s="3" t="str">
        <f ca="1">IFERROR(__xludf.DUMMYFUNCTION("SPLIT(A176,"","")"),"US")</f>
        <v>US</v>
      </c>
      <c r="C176" s="3" t="str">
        <f ca="1">IFERROR(__xludf.DUMMYFUNCTION("""COMPUTED_VALUE"""),"Black Hills State University")</f>
        <v>Black Hills State University</v>
      </c>
      <c r="D176" s="4" t="str">
        <f ca="1">IFERROR(__xludf.DUMMYFUNCTION("""COMPUTED_VALUE"""),"http://www.bhsu.edu/")</f>
        <v>http://www.bhsu.edu/</v>
      </c>
      <c r="G176" s="2" t="str">
        <f t="shared" ca="1" si="0"/>
        <v>Black Hills State University</v>
      </c>
      <c r="H176" s="5" t="str">
        <f t="shared" ca="1" si="1"/>
        <v>Black Hills State University</v>
      </c>
      <c r="I176" s="3" t="str">
        <f t="shared" ca="1" si="2"/>
        <v>'Black Hills State University',</v>
      </c>
    </row>
    <row r="177" spans="1:9">
      <c r="A177" s="1" t="s">
        <v>175</v>
      </c>
      <c r="B177" s="3" t="str">
        <f ca="1">IFERROR(__xludf.DUMMYFUNCTION("SPLIT(A177,"","")"),"US")</f>
        <v>US</v>
      </c>
      <c r="C177" s="3" t="str">
        <f ca="1">IFERROR(__xludf.DUMMYFUNCTION("""COMPUTED_VALUE"""),"Blessing-Rieman College of Nursing")</f>
        <v>Blessing-Rieman College of Nursing</v>
      </c>
      <c r="D177" s="4" t="str">
        <f ca="1">IFERROR(__xludf.DUMMYFUNCTION("""COMPUTED_VALUE"""),"http://www.brcn.edu/")</f>
        <v>http://www.brcn.edu/</v>
      </c>
      <c r="G177" s="2" t="str">
        <f t="shared" ca="1" si="0"/>
        <v>Blessing-Rieman College of Nursing</v>
      </c>
      <c r="H177" s="5" t="str">
        <f t="shared" ca="1" si="1"/>
        <v>Blessing-Rieman College of Nursing</v>
      </c>
      <c r="I177" s="3" t="str">
        <f t="shared" ca="1" si="2"/>
        <v>'Blessing-Rieman College of Nursing',</v>
      </c>
    </row>
    <row r="178" spans="1:9">
      <c r="A178" s="1" t="s">
        <v>176</v>
      </c>
      <c r="B178" s="3" t="str">
        <f ca="1">IFERROR(__xludf.DUMMYFUNCTION("SPLIT(A178,"","")"),"US")</f>
        <v>US</v>
      </c>
      <c r="C178" s="3" t="str">
        <f ca="1">IFERROR(__xludf.DUMMYFUNCTION("""COMPUTED_VALUE"""),"Bloomfield College")</f>
        <v>Bloomfield College</v>
      </c>
      <c r="D178" s="4" t="str">
        <f ca="1">IFERROR(__xludf.DUMMYFUNCTION("""COMPUTED_VALUE"""),"http://www.bloomfield.edu/")</f>
        <v>http://www.bloomfield.edu/</v>
      </c>
      <c r="G178" s="2" t="str">
        <f t="shared" ca="1" si="0"/>
        <v>Bloomfield College</v>
      </c>
      <c r="H178" s="5" t="str">
        <f t="shared" ca="1" si="1"/>
        <v>Bloomfield College</v>
      </c>
      <c r="I178" s="3" t="str">
        <f t="shared" ca="1" si="2"/>
        <v>'Bloomfield College',</v>
      </c>
    </row>
    <row r="179" spans="1:9">
      <c r="A179" s="1" t="s">
        <v>177</v>
      </c>
      <c r="B179" s="3" t="str">
        <f ca="1">IFERROR(__xludf.DUMMYFUNCTION("SPLIT(A179,"","")"),"US")</f>
        <v>US</v>
      </c>
      <c r="C179" s="3" t="str">
        <f ca="1">IFERROR(__xludf.DUMMYFUNCTION("""COMPUTED_VALUE"""),"Bloomsburg University of Pennsylvania")</f>
        <v>Bloomsburg University of Pennsylvania</v>
      </c>
      <c r="D179" s="4" t="str">
        <f ca="1">IFERROR(__xludf.DUMMYFUNCTION("""COMPUTED_VALUE"""),"http://www.bloomu.edu/")</f>
        <v>http://www.bloomu.edu/</v>
      </c>
      <c r="G179" s="2" t="str">
        <f t="shared" ca="1" si="0"/>
        <v>Bloomsburg University of Pennsylvania</v>
      </c>
      <c r="H179" s="5" t="str">
        <f t="shared" ca="1" si="1"/>
        <v>Bloomsburg University of Pennsylvania</v>
      </c>
      <c r="I179" s="3" t="str">
        <f t="shared" ca="1" si="2"/>
        <v>'Bloomsburg University of Pennsylvania',</v>
      </c>
    </row>
    <row r="180" spans="1:9">
      <c r="A180" s="1" t="s">
        <v>178</v>
      </c>
      <c r="B180" s="3" t="str">
        <f ca="1">IFERROR(__xludf.DUMMYFUNCTION("SPLIT(A180,"","")"),"US")</f>
        <v>US</v>
      </c>
      <c r="C180" s="3" t="str">
        <f ca="1">IFERROR(__xludf.DUMMYFUNCTION("""COMPUTED_VALUE"""),"Bluefield College")</f>
        <v>Bluefield College</v>
      </c>
      <c r="D180" s="4" t="str">
        <f ca="1">IFERROR(__xludf.DUMMYFUNCTION("""COMPUTED_VALUE"""),"http://www.bluefield.edu/")</f>
        <v>http://www.bluefield.edu/</v>
      </c>
      <c r="G180" s="2" t="str">
        <f t="shared" ca="1" si="0"/>
        <v>Bluefield College</v>
      </c>
      <c r="H180" s="5" t="str">
        <f t="shared" ca="1" si="1"/>
        <v>Bluefield College</v>
      </c>
      <c r="I180" s="3" t="str">
        <f t="shared" ca="1" si="2"/>
        <v>'Bluefield College',</v>
      </c>
    </row>
    <row r="181" spans="1:9">
      <c r="A181" s="1" t="s">
        <v>179</v>
      </c>
      <c r="B181" s="3" t="str">
        <f ca="1">IFERROR(__xludf.DUMMYFUNCTION("SPLIT(A181,"","")"),"US")</f>
        <v>US</v>
      </c>
      <c r="C181" s="3" t="str">
        <f ca="1">IFERROR(__xludf.DUMMYFUNCTION("""COMPUTED_VALUE"""),"Bluefield State College")</f>
        <v>Bluefield State College</v>
      </c>
      <c r="D181" s="4" t="str">
        <f ca="1">IFERROR(__xludf.DUMMYFUNCTION("""COMPUTED_VALUE"""),"http://www.bluefield.wvnet.edu/")</f>
        <v>http://www.bluefield.wvnet.edu/</v>
      </c>
      <c r="G181" s="2" t="str">
        <f t="shared" ca="1" si="0"/>
        <v>Bluefield State College</v>
      </c>
      <c r="H181" s="5" t="str">
        <f t="shared" ca="1" si="1"/>
        <v>Bluefield State College</v>
      </c>
      <c r="I181" s="3" t="str">
        <f t="shared" ca="1" si="2"/>
        <v>'Bluefield State College',</v>
      </c>
    </row>
    <row r="182" spans="1:9">
      <c r="A182" s="1" t="s">
        <v>180</v>
      </c>
      <c r="B182" s="3" t="str">
        <f ca="1">IFERROR(__xludf.DUMMYFUNCTION("SPLIT(A182,"","")"),"US")</f>
        <v>US</v>
      </c>
      <c r="C182" s="3" t="str">
        <f ca="1">IFERROR(__xludf.DUMMYFUNCTION("""COMPUTED_VALUE"""),"Blue Mountain College")</f>
        <v>Blue Mountain College</v>
      </c>
      <c r="D182" s="4" t="str">
        <f ca="1">IFERROR(__xludf.DUMMYFUNCTION("""COMPUTED_VALUE"""),"http://www.bmc.edu/")</f>
        <v>http://www.bmc.edu/</v>
      </c>
      <c r="G182" s="2" t="str">
        <f t="shared" ca="1" si="0"/>
        <v>Blue Mountain College</v>
      </c>
      <c r="H182" s="5" t="str">
        <f t="shared" ca="1" si="1"/>
        <v>Blue Mountain College</v>
      </c>
      <c r="I182" s="3" t="str">
        <f t="shared" ca="1" si="2"/>
        <v>'Blue Mountain College',</v>
      </c>
    </row>
    <row r="183" spans="1:9">
      <c r="A183" s="1" t="s">
        <v>181</v>
      </c>
      <c r="B183" s="3" t="str">
        <f ca="1">IFERROR(__xludf.DUMMYFUNCTION("SPLIT(A183,"","")"),"US")</f>
        <v>US</v>
      </c>
      <c r="C183" s="3" t="str">
        <f ca="1">IFERROR(__xludf.DUMMYFUNCTION("""COMPUTED_VALUE"""),"Bluffton College")</f>
        <v>Bluffton College</v>
      </c>
      <c r="D183" s="4" t="str">
        <f ca="1">IFERROR(__xludf.DUMMYFUNCTION("""COMPUTED_VALUE"""),"http://www.bluffton.edu/")</f>
        <v>http://www.bluffton.edu/</v>
      </c>
      <c r="G183" s="2" t="str">
        <f t="shared" ca="1" si="0"/>
        <v>Bluffton College</v>
      </c>
      <c r="H183" s="5" t="str">
        <f t="shared" ca="1" si="1"/>
        <v>Bluffton College</v>
      </c>
      <c r="I183" s="3" t="str">
        <f t="shared" ca="1" si="2"/>
        <v>'Bluffton College',</v>
      </c>
    </row>
    <row r="184" spans="1:9">
      <c r="A184" s="1" t="s">
        <v>182</v>
      </c>
      <c r="B184" s="3" t="str">
        <f ca="1">IFERROR(__xludf.DUMMYFUNCTION("SPLIT(A184,"","")"),"US")</f>
        <v>US</v>
      </c>
      <c r="C184" s="3" t="str">
        <f ca="1">IFERROR(__xludf.DUMMYFUNCTION("""COMPUTED_VALUE"""),"Bob Jones University")</f>
        <v>Bob Jones University</v>
      </c>
      <c r="D184" s="4" t="str">
        <f ca="1">IFERROR(__xludf.DUMMYFUNCTION("""COMPUTED_VALUE"""),"http://www.bju.edu/")</f>
        <v>http://www.bju.edu/</v>
      </c>
      <c r="G184" s="2" t="str">
        <f t="shared" ca="1" si="0"/>
        <v>Bob Jones University</v>
      </c>
      <c r="H184" s="5" t="str">
        <f t="shared" ca="1" si="1"/>
        <v>Bob Jones University</v>
      </c>
      <c r="I184" s="3" t="str">
        <f t="shared" ca="1" si="2"/>
        <v>'Bob Jones University',</v>
      </c>
    </row>
    <row r="185" spans="1:9">
      <c r="A185" s="1" t="s">
        <v>183</v>
      </c>
      <c r="B185" s="3" t="str">
        <f ca="1">IFERROR(__xludf.DUMMYFUNCTION("SPLIT(A185,"","")"),"US")</f>
        <v>US</v>
      </c>
      <c r="C185" s="3" t="str">
        <f ca="1">IFERROR(__xludf.DUMMYFUNCTION("""COMPUTED_VALUE"""),"Boise Bible College")</f>
        <v>Boise Bible College</v>
      </c>
      <c r="D185" s="4" t="str">
        <f ca="1">IFERROR(__xludf.DUMMYFUNCTION("""COMPUTED_VALUE"""),"http://www.boisebible.edu/")</f>
        <v>http://www.boisebible.edu/</v>
      </c>
      <c r="G185" s="2" t="str">
        <f t="shared" ca="1" si="0"/>
        <v>Boise Bible College</v>
      </c>
      <c r="H185" s="5" t="str">
        <f t="shared" ca="1" si="1"/>
        <v>Boise Bible College</v>
      </c>
      <c r="I185" s="3" t="str">
        <f t="shared" ca="1" si="2"/>
        <v>'Boise Bible College',</v>
      </c>
    </row>
    <row r="186" spans="1:9">
      <c r="A186" s="1" t="s">
        <v>184</v>
      </c>
      <c r="B186" s="3" t="str">
        <f ca="1">IFERROR(__xludf.DUMMYFUNCTION("SPLIT(A186,"","")"),"US")</f>
        <v>US</v>
      </c>
      <c r="C186" s="3" t="str">
        <f ca="1">IFERROR(__xludf.DUMMYFUNCTION("""COMPUTED_VALUE"""),"Boise State University")</f>
        <v>Boise State University</v>
      </c>
      <c r="D186" s="4" t="str">
        <f ca="1">IFERROR(__xludf.DUMMYFUNCTION("""COMPUTED_VALUE"""),"http://www.boisestate.edu/")</f>
        <v>http://www.boisestate.edu/</v>
      </c>
      <c r="G186" s="2" t="str">
        <f t="shared" ca="1" si="0"/>
        <v>Boise State University</v>
      </c>
      <c r="H186" s="5" t="str">
        <f t="shared" ca="1" si="1"/>
        <v>Boise State University</v>
      </c>
      <c r="I186" s="3" t="str">
        <f t="shared" ca="1" si="2"/>
        <v>'Boise State University',</v>
      </c>
    </row>
    <row r="187" spans="1:9">
      <c r="A187" s="1" t="s">
        <v>185</v>
      </c>
      <c r="B187" s="3" t="str">
        <f ca="1">IFERROR(__xludf.DUMMYFUNCTION("SPLIT(A187,"","")"),"US")</f>
        <v>US</v>
      </c>
      <c r="C187" s="3" t="str">
        <f ca="1">IFERROR(__xludf.DUMMYFUNCTION("""COMPUTED_VALUE"""),"Boricua College")</f>
        <v>Boricua College</v>
      </c>
      <c r="D187" s="4" t="str">
        <f ca="1">IFERROR(__xludf.DUMMYFUNCTION("""COMPUTED_VALUE"""),"http://www.boricuacollege.edu/")</f>
        <v>http://www.boricuacollege.edu/</v>
      </c>
      <c r="G187" s="2" t="str">
        <f t="shared" ca="1" si="0"/>
        <v>Boricua College</v>
      </c>
      <c r="H187" s="5" t="str">
        <f t="shared" ca="1" si="1"/>
        <v>Boricua College</v>
      </c>
      <c r="I187" s="3" t="str">
        <f t="shared" ca="1" si="2"/>
        <v>'Boricua College',</v>
      </c>
    </row>
    <row r="188" spans="1:9">
      <c r="A188" s="1" t="s">
        <v>186</v>
      </c>
      <c r="B188" s="3" t="str">
        <f ca="1">IFERROR(__xludf.DUMMYFUNCTION("SPLIT(A188,"","")"),"US")</f>
        <v>US</v>
      </c>
      <c r="C188" s="3" t="str">
        <f ca="1">IFERROR(__xludf.DUMMYFUNCTION("""COMPUTED_VALUE"""),"Boston Architectural Center")</f>
        <v>Boston Architectural Center</v>
      </c>
      <c r="D188" s="4" t="str">
        <f ca="1">IFERROR(__xludf.DUMMYFUNCTION("""COMPUTED_VALUE"""),"http://www.the-bac.edu/")</f>
        <v>http://www.the-bac.edu/</v>
      </c>
      <c r="G188" s="2" t="str">
        <f t="shared" ca="1" si="0"/>
        <v>Boston Architectural Center</v>
      </c>
      <c r="H188" s="5" t="str">
        <f t="shared" ca="1" si="1"/>
        <v>Boston Architectural Center</v>
      </c>
      <c r="I188" s="3" t="str">
        <f t="shared" ca="1" si="2"/>
        <v>'Boston Architectural Center',</v>
      </c>
    </row>
    <row r="189" spans="1:9">
      <c r="A189" s="1" t="s">
        <v>187</v>
      </c>
      <c r="B189" s="3" t="str">
        <f ca="1">IFERROR(__xludf.DUMMYFUNCTION("SPLIT(A189,"","")"),"US")</f>
        <v>US</v>
      </c>
      <c r="C189" s="3" t="str">
        <f ca="1">IFERROR(__xludf.DUMMYFUNCTION("""COMPUTED_VALUE"""),"Boston College")</f>
        <v>Boston College</v>
      </c>
      <c r="D189" s="4" t="str">
        <f ca="1">IFERROR(__xludf.DUMMYFUNCTION("""COMPUTED_VALUE"""),"http://www.bc.edu/")</f>
        <v>http://www.bc.edu/</v>
      </c>
      <c r="G189" s="2" t="str">
        <f t="shared" ca="1" si="0"/>
        <v>Boston College</v>
      </c>
      <c r="H189" s="5" t="str">
        <f t="shared" ca="1" si="1"/>
        <v>Boston College</v>
      </c>
      <c r="I189" s="3" t="str">
        <f t="shared" ca="1" si="2"/>
        <v>'Boston College',</v>
      </c>
    </row>
    <row r="190" spans="1:9">
      <c r="A190" s="1" t="s">
        <v>188</v>
      </c>
      <c r="B190" s="3" t="str">
        <f ca="1">IFERROR(__xludf.DUMMYFUNCTION("SPLIT(A190,"","")"),"US")</f>
        <v>US</v>
      </c>
      <c r="C190" s="3" t="str">
        <f ca="1">IFERROR(__xludf.DUMMYFUNCTION("""COMPUTED_VALUE"""),"Boston University")</f>
        <v>Boston University</v>
      </c>
      <c r="D190" s="4" t="str">
        <f ca="1">IFERROR(__xludf.DUMMYFUNCTION("""COMPUTED_VALUE"""),"http://www.bu.edu/")</f>
        <v>http://www.bu.edu/</v>
      </c>
      <c r="G190" s="2" t="str">
        <f t="shared" ca="1" si="0"/>
        <v>Boston University</v>
      </c>
      <c r="H190" s="5" t="str">
        <f t="shared" ca="1" si="1"/>
        <v>Boston University</v>
      </c>
      <c r="I190" s="3" t="str">
        <f t="shared" ca="1" si="2"/>
        <v>'Boston University',</v>
      </c>
    </row>
    <row r="191" spans="1:9">
      <c r="A191" s="1" t="s">
        <v>189</v>
      </c>
      <c r="B191" s="3" t="str">
        <f ca="1">IFERROR(__xludf.DUMMYFUNCTION("SPLIT(A191,"","")"),"US")</f>
        <v>US</v>
      </c>
      <c r="C191" s="3" t="str">
        <f ca="1">IFERROR(__xludf.DUMMYFUNCTION("""COMPUTED_VALUE"""),"Bowdoin College")</f>
        <v>Bowdoin College</v>
      </c>
      <c r="D191" s="4" t="str">
        <f ca="1">IFERROR(__xludf.DUMMYFUNCTION("""COMPUTED_VALUE"""),"http://www.bowdoin.edu/")</f>
        <v>http://www.bowdoin.edu/</v>
      </c>
      <c r="G191" s="2" t="str">
        <f t="shared" ca="1" si="0"/>
        <v>Bowdoin College</v>
      </c>
      <c r="H191" s="5" t="str">
        <f t="shared" ca="1" si="1"/>
        <v>Bowdoin College</v>
      </c>
      <c r="I191" s="3" t="str">
        <f t="shared" ca="1" si="2"/>
        <v>'Bowdoin College',</v>
      </c>
    </row>
    <row r="192" spans="1:9">
      <c r="A192" s="1" t="s">
        <v>190</v>
      </c>
      <c r="B192" s="3" t="str">
        <f ca="1">IFERROR(__xludf.DUMMYFUNCTION("SPLIT(A192,"","")"),"US")</f>
        <v>US</v>
      </c>
      <c r="C192" s="3" t="str">
        <f ca="1">IFERROR(__xludf.DUMMYFUNCTION("""COMPUTED_VALUE"""),"Bowie State University")</f>
        <v>Bowie State University</v>
      </c>
      <c r="D192" s="4" t="str">
        <f ca="1">IFERROR(__xludf.DUMMYFUNCTION("""COMPUTED_VALUE"""),"http://www.bowiestate.edu/")</f>
        <v>http://www.bowiestate.edu/</v>
      </c>
      <c r="G192" s="2" t="str">
        <f t="shared" ca="1" si="0"/>
        <v>Bowie State University</v>
      </c>
      <c r="H192" s="5" t="str">
        <f t="shared" ca="1" si="1"/>
        <v>Bowie State University</v>
      </c>
      <c r="I192" s="3" t="str">
        <f t="shared" ca="1" si="2"/>
        <v>'Bowie State University',</v>
      </c>
    </row>
    <row r="193" spans="1:9">
      <c r="A193" s="1" t="s">
        <v>191</v>
      </c>
      <c r="B193" s="3" t="str">
        <f ca="1">IFERROR(__xludf.DUMMYFUNCTION("SPLIT(A193,"","")"),"US")</f>
        <v>US</v>
      </c>
      <c r="C193" s="3" t="str">
        <f ca="1">IFERROR(__xludf.DUMMYFUNCTION("""COMPUTED_VALUE"""),"Bowling Green State University")</f>
        <v>Bowling Green State University</v>
      </c>
      <c r="D193" s="4" t="str">
        <f ca="1">IFERROR(__xludf.DUMMYFUNCTION("""COMPUTED_VALUE"""),"http://www.bgsu.edu/")</f>
        <v>http://www.bgsu.edu/</v>
      </c>
      <c r="G193" s="2" t="str">
        <f t="shared" ca="1" si="0"/>
        <v>Bowling Green State University</v>
      </c>
      <c r="H193" s="5" t="str">
        <f t="shared" ca="1" si="1"/>
        <v>Bowling Green State University</v>
      </c>
      <c r="I193" s="3" t="str">
        <f t="shared" ca="1" si="2"/>
        <v>'Bowling Green State University',</v>
      </c>
    </row>
    <row r="194" spans="1:9">
      <c r="A194" s="1" t="s">
        <v>192</v>
      </c>
      <c r="B194" s="3" t="str">
        <f ca="1">IFERROR(__xludf.DUMMYFUNCTION("SPLIT(A194,"","")"),"US")</f>
        <v>US</v>
      </c>
      <c r="C194" s="3" t="str">
        <f ca="1">IFERROR(__xludf.DUMMYFUNCTION("""COMPUTED_VALUE"""),"""Bowling Green State University")</f>
        <v>"Bowling Green State University</v>
      </c>
      <c r="D194" s="3" t="str">
        <f ca="1">IFERROR(__xludf.DUMMYFUNCTION("""COMPUTED_VALUE""")," Firelands""")</f>
        <v xml:space="preserve"> Firelands"</v>
      </c>
      <c r="E194" s="4" t="str">
        <f ca="1">IFERROR(__xludf.DUMMYFUNCTION("""COMPUTED_VALUE"""),"http://www.firelands.bgsu.edu/")</f>
        <v>http://www.firelands.bgsu.edu/</v>
      </c>
      <c r="G194" s="2" t="str">
        <f t="shared" ca="1" si="0"/>
        <v>"Bowling Green State University</v>
      </c>
      <c r="H194" s="5" t="str">
        <f t="shared" ca="1" si="1"/>
        <v>Bowling Green State University</v>
      </c>
      <c r="I194" s="3" t="str">
        <f t="shared" ca="1" si="2"/>
        <v>'Bowling Green State University',</v>
      </c>
    </row>
    <row r="195" spans="1:9">
      <c r="A195" s="1" t="s">
        <v>193</v>
      </c>
      <c r="B195" s="3" t="str">
        <f ca="1">IFERROR(__xludf.DUMMYFUNCTION("SPLIT(A195,"","")"),"US")</f>
        <v>US</v>
      </c>
      <c r="C195" s="3" t="str">
        <f ca="1">IFERROR(__xludf.DUMMYFUNCTION("""COMPUTED_VALUE"""),"Bradley University")</f>
        <v>Bradley University</v>
      </c>
      <c r="D195" s="4" t="str">
        <f ca="1">IFERROR(__xludf.DUMMYFUNCTION("""COMPUTED_VALUE"""),"http://www.bradley.edu/")</f>
        <v>http://www.bradley.edu/</v>
      </c>
      <c r="G195" s="2" t="str">
        <f t="shared" ca="1" si="0"/>
        <v>Bradley University</v>
      </c>
      <c r="H195" s="5" t="str">
        <f t="shared" ca="1" si="1"/>
        <v>Bradley University</v>
      </c>
      <c r="I195" s="3" t="str">
        <f t="shared" ca="1" si="2"/>
        <v>'Bradley University',</v>
      </c>
    </row>
    <row r="196" spans="1:9">
      <c r="A196" s="1" t="s">
        <v>194</v>
      </c>
      <c r="B196" s="3" t="str">
        <f ca="1">IFERROR(__xludf.DUMMYFUNCTION("SPLIT(A196,"","")"),"US")</f>
        <v>US</v>
      </c>
      <c r="C196" s="3" t="str">
        <f ca="1">IFERROR(__xludf.DUMMYFUNCTION("""COMPUTED_VALUE"""),"Brandeis University")</f>
        <v>Brandeis University</v>
      </c>
      <c r="D196" s="4" t="str">
        <f ca="1">IFERROR(__xludf.DUMMYFUNCTION("""COMPUTED_VALUE"""),"http://www.brandeis.edu/")</f>
        <v>http://www.brandeis.edu/</v>
      </c>
      <c r="G196" s="2" t="str">
        <f t="shared" ca="1" si="0"/>
        <v>Brandeis University</v>
      </c>
      <c r="H196" s="5" t="str">
        <f t="shared" ca="1" si="1"/>
        <v>Brandeis University</v>
      </c>
      <c r="I196" s="3" t="str">
        <f t="shared" ca="1" si="2"/>
        <v>'Brandeis University',</v>
      </c>
    </row>
    <row r="197" spans="1:9">
      <c r="A197" s="1" t="s">
        <v>195</v>
      </c>
      <c r="B197" s="3" t="str">
        <f ca="1">IFERROR(__xludf.DUMMYFUNCTION("SPLIT(A197,"","")"),"US")</f>
        <v>US</v>
      </c>
      <c r="C197" s="3" t="str">
        <f ca="1">IFERROR(__xludf.DUMMYFUNCTION("""COMPUTED_VALUE"""),"Brandman University")</f>
        <v>Brandman University</v>
      </c>
      <c r="D197" s="4" t="str">
        <f ca="1">IFERROR(__xludf.DUMMYFUNCTION("""COMPUTED_VALUE"""),"http://www.brandman.edu/")</f>
        <v>http://www.brandman.edu/</v>
      </c>
      <c r="G197" s="2" t="str">
        <f t="shared" ca="1" si="0"/>
        <v>Brandman University</v>
      </c>
      <c r="H197" s="5" t="str">
        <f t="shared" ca="1" si="1"/>
        <v>Brandman University</v>
      </c>
      <c r="I197" s="3" t="str">
        <f t="shared" ca="1" si="2"/>
        <v>'Brandman University',</v>
      </c>
    </row>
    <row r="198" spans="1:9">
      <c r="A198" s="1" t="s">
        <v>196</v>
      </c>
      <c r="B198" s="3" t="str">
        <f ca="1">IFERROR(__xludf.DUMMYFUNCTION("SPLIT(A198,"","")"),"US")</f>
        <v>US</v>
      </c>
      <c r="C198" s="3" t="str">
        <f ca="1">IFERROR(__xludf.DUMMYFUNCTION("""COMPUTED_VALUE"""),"Brenau University")</f>
        <v>Brenau University</v>
      </c>
      <c r="D198" s="4" t="str">
        <f ca="1">IFERROR(__xludf.DUMMYFUNCTION("""COMPUTED_VALUE"""),"http://www.brenau.edu/")</f>
        <v>http://www.brenau.edu/</v>
      </c>
      <c r="G198" s="2" t="str">
        <f t="shared" ca="1" si="0"/>
        <v>Brenau University</v>
      </c>
      <c r="H198" s="5" t="str">
        <f t="shared" ca="1" si="1"/>
        <v>Brenau University</v>
      </c>
      <c r="I198" s="3" t="str">
        <f t="shared" ca="1" si="2"/>
        <v>'Brenau University',</v>
      </c>
    </row>
    <row r="199" spans="1:9">
      <c r="A199" s="1" t="s">
        <v>197</v>
      </c>
      <c r="B199" s="3" t="str">
        <f ca="1">IFERROR(__xludf.DUMMYFUNCTION("SPLIT(A199,"","")"),"US")</f>
        <v>US</v>
      </c>
      <c r="C199" s="3" t="str">
        <f ca="1">IFERROR(__xludf.DUMMYFUNCTION("""COMPUTED_VALUE"""),"Brescia University")</f>
        <v>Brescia University</v>
      </c>
      <c r="D199" s="4" t="str">
        <f ca="1">IFERROR(__xludf.DUMMYFUNCTION("""COMPUTED_VALUE"""),"http://www.brescia.edu/")</f>
        <v>http://www.brescia.edu/</v>
      </c>
      <c r="G199" s="2" t="str">
        <f t="shared" ca="1" si="0"/>
        <v>Brescia University</v>
      </c>
      <c r="H199" s="5" t="str">
        <f t="shared" ca="1" si="1"/>
        <v>Brescia University</v>
      </c>
      <c r="I199" s="3" t="str">
        <f t="shared" ca="1" si="2"/>
        <v>'Brescia University',</v>
      </c>
    </row>
    <row r="200" spans="1:9">
      <c r="A200" s="1" t="s">
        <v>198</v>
      </c>
      <c r="B200" s="3" t="str">
        <f ca="1">IFERROR(__xludf.DUMMYFUNCTION("SPLIT(A200,"","")"),"US")</f>
        <v>US</v>
      </c>
      <c r="C200" s="3" t="str">
        <f ca="1">IFERROR(__xludf.DUMMYFUNCTION("""COMPUTED_VALUE"""),"Brevard College")</f>
        <v>Brevard College</v>
      </c>
      <c r="D200" s="4" t="str">
        <f ca="1">IFERROR(__xludf.DUMMYFUNCTION("""COMPUTED_VALUE"""),"http://www.brevard.edu/")</f>
        <v>http://www.brevard.edu/</v>
      </c>
      <c r="G200" s="2" t="str">
        <f t="shared" ca="1" si="0"/>
        <v>Brevard College</v>
      </c>
      <c r="H200" s="5" t="str">
        <f t="shared" ca="1" si="1"/>
        <v>Brevard College</v>
      </c>
      <c r="I200" s="3" t="str">
        <f t="shared" ca="1" si="2"/>
        <v>'Brevard College',</v>
      </c>
    </row>
    <row r="201" spans="1:9">
      <c r="A201" s="1" t="s">
        <v>199</v>
      </c>
      <c r="B201" s="3" t="str">
        <f ca="1">IFERROR(__xludf.DUMMYFUNCTION("SPLIT(A201,"","")"),"US")</f>
        <v>US</v>
      </c>
      <c r="C201" s="3" t="str">
        <f ca="1">IFERROR(__xludf.DUMMYFUNCTION("""COMPUTED_VALUE"""),"Brewton-Parker College")</f>
        <v>Brewton-Parker College</v>
      </c>
      <c r="D201" s="4" t="str">
        <f ca="1">IFERROR(__xludf.DUMMYFUNCTION("""COMPUTED_VALUE"""),"http://www.bpc.edu/")</f>
        <v>http://www.bpc.edu/</v>
      </c>
      <c r="G201" s="2" t="str">
        <f t="shared" ca="1" si="0"/>
        <v>Brewton-Parker College</v>
      </c>
      <c r="H201" s="5" t="str">
        <f t="shared" ca="1" si="1"/>
        <v>Brewton-Parker College</v>
      </c>
      <c r="I201" s="3" t="str">
        <f t="shared" ca="1" si="2"/>
        <v>'Brewton-Parker College',</v>
      </c>
    </row>
    <row r="202" spans="1:9">
      <c r="A202" s="1" t="s">
        <v>200</v>
      </c>
      <c r="B202" s="3" t="str">
        <f ca="1">IFERROR(__xludf.DUMMYFUNCTION("SPLIT(A202,"","")"),"US")</f>
        <v>US</v>
      </c>
      <c r="C202" s="3" t="str">
        <f ca="1">IFERROR(__xludf.DUMMYFUNCTION("""COMPUTED_VALUE"""),"Breyer State University (Virtual University)")</f>
        <v>Breyer State University (Virtual University)</v>
      </c>
      <c r="D202" s="4" t="str">
        <f ca="1">IFERROR(__xludf.DUMMYFUNCTION("""COMPUTED_VALUE"""),"http://www.breyerstate.com/")</f>
        <v>http://www.breyerstate.com/</v>
      </c>
      <c r="G202" s="2" t="str">
        <f t="shared" ca="1" si="0"/>
        <v>Breyer State University (Virtual University)</v>
      </c>
      <c r="H202" s="5" t="str">
        <f t="shared" ca="1" si="1"/>
        <v>Breyer State University (Virtual University)</v>
      </c>
      <c r="I202" s="3" t="str">
        <f t="shared" ca="1" si="2"/>
        <v>'Breyer State University (Virtual University)',</v>
      </c>
    </row>
    <row r="203" spans="1:9">
      <c r="A203" s="1" t="s">
        <v>201</v>
      </c>
      <c r="B203" s="3" t="str">
        <f ca="1">IFERROR(__xludf.DUMMYFUNCTION("SPLIT(A203,"","")"),"US")</f>
        <v>US</v>
      </c>
      <c r="C203" s="3" t="str">
        <f ca="1">IFERROR(__xludf.DUMMYFUNCTION("""COMPUTED_VALUE"""),"Briar Cliff College")</f>
        <v>Briar Cliff College</v>
      </c>
      <c r="D203" s="4" t="str">
        <f ca="1">IFERROR(__xludf.DUMMYFUNCTION("""COMPUTED_VALUE"""),"http://www.briar-cliff.edu/")</f>
        <v>http://www.briar-cliff.edu/</v>
      </c>
      <c r="G203" s="2" t="str">
        <f t="shared" ca="1" si="0"/>
        <v>Briar Cliff College</v>
      </c>
      <c r="H203" s="5" t="str">
        <f t="shared" ca="1" si="1"/>
        <v>Briar Cliff College</v>
      </c>
      <c r="I203" s="3" t="str">
        <f t="shared" ca="1" si="2"/>
        <v>'Briar Cliff College',</v>
      </c>
    </row>
    <row r="204" spans="1:9">
      <c r="A204" s="1" t="s">
        <v>202</v>
      </c>
      <c r="B204" s="3" t="str">
        <f ca="1">IFERROR(__xludf.DUMMYFUNCTION("SPLIT(A204,"","")"),"US")</f>
        <v>US</v>
      </c>
      <c r="C204" s="3" t="str">
        <f ca="1">IFERROR(__xludf.DUMMYFUNCTION("""COMPUTED_VALUE"""),"Bridgewater College")</f>
        <v>Bridgewater College</v>
      </c>
      <c r="D204" s="4" t="str">
        <f ca="1">IFERROR(__xludf.DUMMYFUNCTION("""COMPUTED_VALUE"""),"http://www.bridgewater.edu/")</f>
        <v>http://www.bridgewater.edu/</v>
      </c>
      <c r="G204" s="2" t="str">
        <f t="shared" ca="1" si="0"/>
        <v>Bridgewater College</v>
      </c>
      <c r="H204" s="5" t="str">
        <f t="shared" ca="1" si="1"/>
        <v>Bridgewater College</v>
      </c>
      <c r="I204" s="3" t="str">
        <f t="shared" ca="1" si="2"/>
        <v>'Bridgewater College',</v>
      </c>
    </row>
    <row r="205" spans="1:9">
      <c r="A205" s="1" t="s">
        <v>203</v>
      </c>
      <c r="B205" s="3" t="str">
        <f ca="1">IFERROR(__xludf.DUMMYFUNCTION("SPLIT(A205,"","")"),"US")</f>
        <v>US</v>
      </c>
      <c r="C205" s="3" t="str">
        <f ca="1">IFERROR(__xludf.DUMMYFUNCTION("""COMPUTED_VALUE"""),"Bridgewater State College")</f>
        <v>Bridgewater State College</v>
      </c>
      <c r="D205" s="4" t="str">
        <f ca="1">IFERROR(__xludf.DUMMYFUNCTION("""COMPUTED_VALUE"""),"http://www.bridgew.edu/")</f>
        <v>http://www.bridgew.edu/</v>
      </c>
      <c r="G205" s="2" t="str">
        <f t="shared" ca="1" si="0"/>
        <v>Bridgewater State College</v>
      </c>
      <c r="H205" s="5" t="str">
        <f t="shared" ca="1" si="1"/>
        <v>Bridgewater State College</v>
      </c>
      <c r="I205" s="3" t="str">
        <f t="shared" ca="1" si="2"/>
        <v>'Bridgewater State College',</v>
      </c>
    </row>
    <row r="206" spans="1:9">
      <c r="A206" s="1" t="s">
        <v>204</v>
      </c>
      <c r="B206" s="3" t="str">
        <f ca="1">IFERROR(__xludf.DUMMYFUNCTION("SPLIT(A206,"","")"),"US")</f>
        <v>US</v>
      </c>
      <c r="C206" s="3" t="str">
        <f ca="1">IFERROR(__xludf.DUMMYFUNCTION("""COMPUTED_VALUE"""),"Brigham Young University")</f>
        <v>Brigham Young University</v>
      </c>
      <c r="D206" s="4" t="str">
        <f ca="1">IFERROR(__xludf.DUMMYFUNCTION("""COMPUTED_VALUE"""),"http://www.byui.edu/")</f>
        <v>http://www.byui.edu/</v>
      </c>
      <c r="G206" s="2" t="str">
        <f t="shared" ca="1" si="0"/>
        <v>Brigham Young University</v>
      </c>
      <c r="H206" s="5" t="str">
        <f t="shared" ca="1" si="1"/>
        <v>Brigham Young University</v>
      </c>
      <c r="I206" s="3" t="str">
        <f t="shared" ca="1" si="2"/>
        <v>'Brigham Young University',</v>
      </c>
    </row>
    <row r="207" spans="1:9">
      <c r="A207" s="1" t="s">
        <v>205</v>
      </c>
      <c r="B207" s="3" t="str">
        <f ca="1">IFERROR(__xludf.DUMMYFUNCTION("SPLIT(A207,"","")"),"US")</f>
        <v>US</v>
      </c>
      <c r="C207" s="3" t="str">
        <f ca="1">IFERROR(__xludf.DUMMYFUNCTION("""COMPUTED_VALUE"""),"Brigham Young University")</f>
        <v>Brigham Young University</v>
      </c>
      <c r="D207" s="4" t="str">
        <f ca="1">IFERROR(__xludf.DUMMYFUNCTION("""COMPUTED_VALUE"""),"http://www.byu.edu/")</f>
        <v>http://www.byu.edu/</v>
      </c>
      <c r="G207" s="2" t="str">
        <f t="shared" ca="1" si="0"/>
        <v>Brigham Young University</v>
      </c>
      <c r="H207" s="5" t="str">
        <f t="shared" ca="1" si="1"/>
        <v>Brigham Young University</v>
      </c>
      <c r="I207" s="3" t="str">
        <f t="shared" ca="1" si="2"/>
        <v>'Brigham Young University',</v>
      </c>
    </row>
    <row r="208" spans="1:9">
      <c r="A208" s="1" t="s">
        <v>206</v>
      </c>
      <c r="B208" s="3" t="str">
        <f ca="1">IFERROR(__xludf.DUMMYFUNCTION("SPLIT(A208,"","")"),"US")</f>
        <v>US</v>
      </c>
      <c r="C208" s="3" t="str">
        <f ca="1">IFERROR(__xludf.DUMMYFUNCTION("""COMPUTED_VALUE"""),"Brigham Young University Hawaii")</f>
        <v>Brigham Young University Hawaii</v>
      </c>
      <c r="D208" s="4" t="str">
        <f ca="1">IFERROR(__xludf.DUMMYFUNCTION("""COMPUTED_VALUE"""),"http://www.byuh.edu/")</f>
        <v>http://www.byuh.edu/</v>
      </c>
      <c r="G208" s="2" t="str">
        <f t="shared" ca="1" si="0"/>
        <v>Brigham Young University Hawaii</v>
      </c>
      <c r="H208" s="5" t="str">
        <f t="shared" ca="1" si="1"/>
        <v>Brigham Young University Hawaii</v>
      </c>
      <c r="I208" s="3" t="str">
        <f t="shared" ca="1" si="2"/>
        <v>'Brigham Young University Hawaii',</v>
      </c>
    </row>
    <row r="209" spans="1:9">
      <c r="A209" s="1" t="s">
        <v>207</v>
      </c>
      <c r="B209" s="3" t="str">
        <f ca="1">IFERROR(__xludf.DUMMYFUNCTION("SPLIT(A209,"","")"),"US")</f>
        <v>US</v>
      </c>
      <c r="C209" s="3" t="str">
        <f ca="1">IFERROR(__xludf.DUMMYFUNCTION("""COMPUTED_VALUE"""),"Brooklyn Law School")</f>
        <v>Brooklyn Law School</v>
      </c>
      <c r="D209" s="4" t="str">
        <f ca="1">IFERROR(__xludf.DUMMYFUNCTION("""COMPUTED_VALUE"""),"http://www.brooklaw.edu/")</f>
        <v>http://www.brooklaw.edu/</v>
      </c>
      <c r="G209" s="2" t="str">
        <f t="shared" ca="1" si="0"/>
        <v>Brooklyn Law School</v>
      </c>
      <c r="H209" s="5" t="str">
        <f t="shared" ca="1" si="1"/>
        <v>Brooklyn Law School</v>
      </c>
      <c r="I209" s="3" t="str">
        <f t="shared" ca="1" si="2"/>
        <v>'Brooklyn Law School',</v>
      </c>
    </row>
    <row r="210" spans="1:9">
      <c r="A210" s="1" t="s">
        <v>208</v>
      </c>
      <c r="B210" s="3" t="str">
        <f ca="1">IFERROR(__xludf.DUMMYFUNCTION("SPLIT(A210,"","")"),"US")</f>
        <v>US</v>
      </c>
      <c r="C210" s="3" t="str">
        <f ca="1">IFERROR(__xludf.DUMMYFUNCTION("""COMPUTED_VALUE"""),"Brooks Institute of Photography")</f>
        <v>Brooks Institute of Photography</v>
      </c>
      <c r="D210" s="4" t="str">
        <f ca="1">IFERROR(__xludf.DUMMYFUNCTION("""COMPUTED_VALUE"""),"http://www.brooks.edu/")</f>
        <v>http://www.brooks.edu/</v>
      </c>
      <c r="G210" s="2" t="str">
        <f t="shared" ca="1" si="0"/>
        <v>Brooks Institute of Photography</v>
      </c>
      <c r="H210" s="5" t="str">
        <f t="shared" ca="1" si="1"/>
        <v>Brooks Institute of Photography</v>
      </c>
      <c r="I210" s="3" t="str">
        <f t="shared" ca="1" si="2"/>
        <v>'Brooks Institute of Photography',</v>
      </c>
    </row>
    <row r="211" spans="1:9">
      <c r="A211" s="1" t="s">
        <v>209</v>
      </c>
      <c r="B211" s="3" t="str">
        <f ca="1">IFERROR(__xludf.DUMMYFUNCTION("SPLIT(A211,"","")"),"US")</f>
        <v>US</v>
      </c>
      <c r="C211" s="3" t="str">
        <f ca="1">IFERROR(__xludf.DUMMYFUNCTION("""COMPUTED_VALUE"""),"Brown University")</f>
        <v>Brown University</v>
      </c>
      <c r="D211" s="4" t="str">
        <f ca="1">IFERROR(__xludf.DUMMYFUNCTION("""COMPUTED_VALUE"""),"http://www.brown.edu/")</f>
        <v>http://www.brown.edu/</v>
      </c>
      <c r="G211" s="2" t="str">
        <f t="shared" ca="1" si="0"/>
        <v>Brown University</v>
      </c>
      <c r="H211" s="5" t="str">
        <f t="shared" ca="1" si="1"/>
        <v>Brown University</v>
      </c>
      <c r="I211" s="3" t="str">
        <f t="shared" ca="1" si="2"/>
        <v>'Brown University',</v>
      </c>
    </row>
    <row r="212" spans="1:9">
      <c r="A212" s="1" t="s">
        <v>210</v>
      </c>
      <c r="B212" s="3" t="str">
        <f ca="1">IFERROR(__xludf.DUMMYFUNCTION("SPLIT(A212,"","")"),"US")</f>
        <v>US</v>
      </c>
      <c r="C212" s="3" t="str">
        <f ca="1">IFERROR(__xludf.DUMMYFUNCTION("""COMPUTED_VALUE"""),"Brunswick Community College")</f>
        <v>Brunswick Community College</v>
      </c>
      <c r="D212" s="4" t="str">
        <f ca="1">IFERROR(__xludf.DUMMYFUNCTION("""COMPUTED_VALUE"""),"http://www.brunswickcc.edu/")</f>
        <v>http://www.brunswickcc.edu/</v>
      </c>
      <c r="G212" s="2" t="str">
        <f t="shared" ca="1" si="0"/>
        <v>Brunswick Community College</v>
      </c>
      <c r="H212" s="5" t="str">
        <f t="shared" ca="1" si="1"/>
        <v>Brunswick Community College</v>
      </c>
      <c r="I212" s="3" t="str">
        <f t="shared" ca="1" si="2"/>
        <v>'Brunswick Community College',</v>
      </c>
    </row>
    <row r="213" spans="1:9">
      <c r="A213" s="1" t="s">
        <v>211</v>
      </c>
      <c r="B213" s="3" t="str">
        <f ca="1">IFERROR(__xludf.DUMMYFUNCTION("SPLIT(A213,"","")"),"US")</f>
        <v>US</v>
      </c>
      <c r="C213" s="3" t="str">
        <f ca="1">IFERROR(__xludf.DUMMYFUNCTION("""COMPUTED_VALUE"""),"Bryan College")</f>
        <v>Bryan College</v>
      </c>
      <c r="D213" s="4" t="str">
        <f ca="1">IFERROR(__xludf.DUMMYFUNCTION("""COMPUTED_VALUE"""),"http://www.bryan.edu/")</f>
        <v>http://www.bryan.edu/</v>
      </c>
      <c r="G213" s="2" t="str">
        <f t="shared" ca="1" si="0"/>
        <v>Bryan College</v>
      </c>
      <c r="H213" s="5" t="str">
        <f t="shared" ca="1" si="1"/>
        <v>Bryan College</v>
      </c>
      <c r="I213" s="3" t="str">
        <f t="shared" ca="1" si="2"/>
        <v>'Bryan College',</v>
      </c>
    </row>
    <row r="214" spans="1:9">
      <c r="A214" s="1" t="s">
        <v>212</v>
      </c>
      <c r="B214" s="3" t="str">
        <f ca="1">IFERROR(__xludf.DUMMYFUNCTION("SPLIT(A214,"","")"),"US")</f>
        <v>US</v>
      </c>
      <c r="C214" s="3" t="str">
        <f ca="1">IFERROR(__xludf.DUMMYFUNCTION("""COMPUTED_VALUE"""),"Bryant and Stratton College")</f>
        <v>Bryant and Stratton College</v>
      </c>
      <c r="D214" s="4" t="str">
        <f ca="1">IFERROR(__xludf.DUMMYFUNCTION("""COMPUTED_VALUE"""),"http://www.bryantstratton.edu/")</f>
        <v>http://www.bryantstratton.edu/</v>
      </c>
      <c r="G214" s="2" t="str">
        <f t="shared" ca="1" si="0"/>
        <v>Bryant and Stratton College</v>
      </c>
      <c r="H214" s="5" t="str">
        <f t="shared" ca="1" si="1"/>
        <v>Bryant and Stratton College</v>
      </c>
      <c r="I214" s="3" t="str">
        <f t="shared" ca="1" si="2"/>
        <v>'Bryant and Stratton College',</v>
      </c>
    </row>
    <row r="215" spans="1:9">
      <c r="A215" s="1" t="s">
        <v>213</v>
      </c>
      <c r="B215" s="3" t="str">
        <f ca="1">IFERROR(__xludf.DUMMYFUNCTION("SPLIT(A215,"","")"),"US")</f>
        <v>US</v>
      </c>
      <c r="C215" s="3" t="str">
        <f ca="1">IFERROR(__xludf.DUMMYFUNCTION("""COMPUTED_VALUE"""),"Bryant University")</f>
        <v>Bryant University</v>
      </c>
      <c r="D215" s="4" t="str">
        <f ca="1">IFERROR(__xludf.DUMMYFUNCTION("""COMPUTED_VALUE"""),"http://www.bryant.edu/")</f>
        <v>http://www.bryant.edu/</v>
      </c>
      <c r="G215" s="2" t="str">
        <f t="shared" ca="1" si="0"/>
        <v>Bryant University</v>
      </c>
      <c r="H215" s="5" t="str">
        <f t="shared" ca="1" si="1"/>
        <v>Bryant University</v>
      </c>
      <c r="I215" s="3" t="str">
        <f t="shared" ca="1" si="2"/>
        <v>'Bryant University',</v>
      </c>
    </row>
    <row r="216" spans="1:9">
      <c r="A216" s="1" t="s">
        <v>214</v>
      </c>
      <c r="B216" s="3" t="str">
        <f ca="1">IFERROR(__xludf.DUMMYFUNCTION("SPLIT(A216,"","")"),"US")</f>
        <v>US</v>
      </c>
      <c r="C216" s="3" t="str">
        <f ca="1">IFERROR(__xludf.DUMMYFUNCTION("""COMPUTED_VALUE"""),"Bryn Athyn College of the New Church")</f>
        <v>Bryn Athyn College of the New Church</v>
      </c>
      <c r="D216" s="4" t="str">
        <f ca="1">IFERROR(__xludf.DUMMYFUNCTION("""COMPUTED_VALUE"""),"http://www.newchurch.edu/college/")</f>
        <v>http://www.newchurch.edu/college/</v>
      </c>
      <c r="G216" s="2" t="str">
        <f t="shared" ca="1" si="0"/>
        <v>Bryn Athyn College of the New Church</v>
      </c>
      <c r="H216" s="5" t="str">
        <f t="shared" ca="1" si="1"/>
        <v>Bryn Athyn College of the New Church</v>
      </c>
      <c r="I216" s="3" t="str">
        <f t="shared" ca="1" si="2"/>
        <v>'Bryn Athyn College of the New Church',</v>
      </c>
    </row>
    <row r="217" spans="1:9">
      <c r="A217" s="1" t="s">
        <v>215</v>
      </c>
      <c r="B217" s="3" t="str">
        <f ca="1">IFERROR(__xludf.DUMMYFUNCTION("SPLIT(A217,"","")"),"US")</f>
        <v>US</v>
      </c>
      <c r="C217" s="3" t="str">
        <f ca="1">IFERROR(__xludf.DUMMYFUNCTION("""COMPUTED_VALUE"""),"Bryn Mawr College")</f>
        <v>Bryn Mawr College</v>
      </c>
      <c r="D217" s="4" t="str">
        <f ca="1">IFERROR(__xludf.DUMMYFUNCTION("""COMPUTED_VALUE"""),"http://www.brynmawr.edu/")</f>
        <v>http://www.brynmawr.edu/</v>
      </c>
      <c r="G217" s="2" t="str">
        <f t="shared" ca="1" si="0"/>
        <v>Bryn Mawr College</v>
      </c>
      <c r="H217" s="5" t="str">
        <f t="shared" ca="1" si="1"/>
        <v>Bryn Mawr College</v>
      </c>
      <c r="I217" s="3" t="str">
        <f t="shared" ca="1" si="2"/>
        <v>'Bryn Mawr College',</v>
      </c>
    </row>
    <row r="218" spans="1:9">
      <c r="A218" s="1" t="s">
        <v>216</v>
      </c>
      <c r="B218" s="3" t="str">
        <f ca="1">IFERROR(__xludf.DUMMYFUNCTION("SPLIT(A218,"","")"),"US")</f>
        <v>US</v>
      </c>
      <c r="C218" s="3" t="str">
        <f ca="1">IFERROR(__xludf.DUMMYFUNCTION("""COMPUTED_VALUE"""),"Bucknell University")</f>
        <v>Bucknell University</v>
      </c>
      <c r="D218" s="4" t="str">
        <f ca="1">IFERROR(__xludf.DUMMYFUNCTION("""COMPUTED_VALUE"""),"http://www.bucknell.edu/")</f>
        <v>http://www.bucknell.edu/</v>
      </c>
      <c r="G218" s="2" t="str">
        <f t="shared" ca="1" si="0"/>
        <v>Bucknell University</v>
      </c>
      <c r="H218" s="5" t="str">
        <f t="shared" ca="1" si="1"/>
        <v>Bucknell University</v>
      </c>
      <c r="I218" s="3" t="str">
        <f t="shared" ca="1" si="2"/>
        <v>'Bucknell University',</v>
      </c>
    </row>
    <row r="219" spans="1:9">
      <c r="A219" s="1" t="s">
        <v>217</v>
      </c>
      <c r="B219" s="3" t="str">
        <f ca="1">IFERROR(__xludf.DUMMYFUNCTION("SPLIT(A219,"","")"),"US")</f>
        <v>US</v>
      </c>
      <c r="C219" s="3" t="str">
        <f ca="1">IFERROR(__xludf.DUMMYFUNCTION("""COMPUTED_VALUE"""),"Buena Vista University")</f>
        <v>Buena Vista University</v>
      </c>
      <c r="D219" s="4" t="str">
        <f ca="1">IFERROR(__xludf.DUMMYFUNCTION("""COMPUTED_VALUE"""),"http://www.bvu.edu/")</f>
        <v>http://www.bvu.edu/</v>
      </c>
      <c r="G219" s="2" t="str">
        <f t="shared" ca="1" si="0"/>
        <v>Buena Vista University</v>
      </c>
      <c r="H219" s="5" t="str">
        <f t="shared" ca="1" si="1"/>
        <v>Buena Vista University</v>
      </c>
      <c r="I219" s="3" t="str">
        <f t="shared" ca="1" si="2"/>
        <v>'Buena Vista University',</v>
      </c>
    </row>
    <row r="220" spans="1:9">
      <c r="A220" s="1" t="s">
        <v>218</v>
      </c>
      <c r="B220" s="3" t="str">
        <f ca="1">IFERROR(__xludf.DUMMYFUNCTION("SPLIT(A220,"","")"),"US")</f>
        <v>US</v>
      </c>
      <c r="C220" s="3" t="str">
        <f ca="1">IFERROR(__xludf.DUMMYFUNCTION("""COMPUTED_VALUE"""),"Burlington College")</f>
        <v>Burlington College</v>
      </c>
      <c r="D220" s="4" t="str">
        <f ca="1">IFERROR(__xludf.DUMMYFUNCTION("""COMPUTED_VALUE"""),"http://www.burlcol.edu/")</f>
        <v>http://www.burlcol.edu/</v>
      </c>
      <c r="G220" s="2" t="str">
        <f t="shared" ca="1" si="0"/>
        <v>Burlington College</v>
      </c>
      <c r="H220" s="5" t="str">
        <f t="shared" ca="1" si="1"/>
        <v>Burlington College</v>
      </c>
      <c r="I220" s="3" t="str">
        <f t="shared" ca="1" si="2"/>
        <v>'Burlington College',</v>
      </c>
    </row>
    <row r="221" spans="1:9">
      <c r="A221" s="1" t="s">
        <v>219</v>
      </c>
      <c r="B221" s="3" t="str">
        <f ca="1">IFERROR(__xludf.DUMMYFUNCTION("SPLIT(A221,"","")"),"US")</f>
        <v>US</v>
      </c>
      <c r="C221" s="3" t="str">
        <f ca="1">IFERROR(__xludf.DUMMYFUNCTION("""COMPUTED_VALUE"""),"Butler University")</f>
        <v>Butler University</v>
      </c>
      <c r="D221" s="4" t="str">
        <f ca="1">IFERROR(__xludf.DUMMYFUNCTION("""COMPUTED_VALUE"""),"http://www.butler.edu/")</f>
        <v>http://www.butler.edu/</v>
      </c>
      <c r="G221" s="2" t="str">
        <f t="shared" ca="1" si="0"/>
        <v>Butler University</v>
      </c>
      <c r="H221" s="5" t="str">
        <f t="shared" ca="1" si="1"/>
        <v>Butler University</v>
      </c>
      <c r="I221" s="3" t="str">
        <f t="shared" ca="1" si="2"/>
        <v>'Butler University',</v>
      </c>
    </row>
    <row r="222" spans="1:9">
      <c r="A222" s="1" t="s">
        <v>220</v>
      </c>
      <c r="B222" s="3" t="str">
        <f ca="1">IFERROR(__xludf.DUMMYFUNCTION("SPLIT(A222,"","")"),"US")</f>
        <v>US</v>
      </c>
      <c r="C222" s="3" t="str">
        <f ca="1">IFERROR(__xludf.DUMMYFUNCTION("""COMPUTED_VALUE"""),"Cabrini College")</f>
        <v>Cabrini College</v>
      </c>
      <c r="D222" s="4" t="str">
        <f ca="1">IFERROR(__xludf.DUMMYFUNCTION("""COMPUTED_VALUE"""),"http://www.cabrini.edu/")</f>
        <v>http://www.cabrini.edu/</v>
      </c>
      <c r="G222" s="2" t="str">
        <f t="shared" ca="1" si="0"/>
        <v>Cabrini College</v>
      </c>
      <c r="H222" s="5" t="str">
        <f t="shared" ca="1" si="1"/>
        <v>Cabrini College</v>
      </c>
      <c r="I222" s="3" t="str">
        <f t="shared" ca="1" si="2"/>
        <v>'Cabrini College',</v>
      </c>
    </row>
    <row r="223" spans="1:9">
      <c r="A223" s="1" t="s">
        <v>221</v>
      </c>
      <c r="B223" s="3" t="str">
        <f ca="1">IFERROR(__xludf.DUMMYFUNCTION("SPLIT(A223,"","")"),"US")</f>
        <v>US</v>
      </c>
      <c r="C223" s="3" t="str">
        <f ca="1">IFERROR(__xludf.DUMMYFUNCTION("""COMPUTED_VALUE"""),"Caldwell College")</f>
        <v>Caldwell College</v>
      </c>
      <c r="D223" s="4" t="str">
        <f ca="1">IFERROR(__xludf.DUMMYFUNCTION("""COMPUTED_VALUE"""),"http://www.caldwell.edu/")</f>
        <v>http://www.caldwell.edu/</v>
      </c>
      <c r="G223" s="2" t="str">
        <f t="shared" ca="1" si="0"/>
        <v>Caldwell College</v>
      </c>
      <c r="H223" s="5" t="str">
        <f t="shared" ca="1" si="1"/>
        <v>Caldwell College</v>
      </c>
      <c r="I223" s="3" t="str">
        <f t="shared" ca="1" si="2"/>
        <v>'Caldwell College',</v>
      </c>
    </row>
    <row r="224" spans="1:9">
      <c r="A224" s="1" t="s">
        <v>222</v>
      </c>
      <c r="B224" s="3" t="str">
        <f ca="1">IFERROR(__xludf.DUMMYFUNCTION("SPLIT(A224,"","")"),"US")</f>
        <v>US</v>
      </c>
      <c r="C224" s="3" t="str">
        <f ca="1">IFERROR(__xludf.DUMMYFUNCTION("""COMPUTED_VALUE"""),"California Baptist College")</f>
        <v>California Baptist College</v>
      </c>
      <c r="D224" s="4" t="str">
        <f ca="1">IFERROR(__xludf.DUMMYFUNCTION("""COMPUTED_VALUE"""),"http://www.calbaptist.edu/")</f>
        <v>http://www.calbaptist.edu/</v>
      </c>
      <c r="G224" s="2" t="str">
        <f t="shared" ca="1" si="0"/>
        <v>California Baptist College</v>
      </c>
      <c r="H224" s="5" t="str">
        <f t="shared" ca="1" si="1"/>
        <v>California Baptist College</v>
      </c>
      <c r="I224" s="3" t="str">
        <f t="shared" ca="1" si="2"/>
        <v>'California Baptist College',</v>
      </c>
    </row>
    <row r="225" spans="1:9">
      <c r="A225" s="1" t="s">
        <v>223</v>
      </c>
      <c r="B225" s="3" t="str">
        <f ca="1">IFERROR(__xludf.DUMMYFUNCTION("SPLIT(A225,"","")"),"US")</f>
        <v>US</v>
      </c>
      <c r="C225" s="3" t="str">
        <f ca="1">IFERROR(__xludf.DUMMYFUNCTION("""COMPUTED_VALUE"""),"California Coast University")</f>
        <v>California Coast University</v>
      </c>
      <c r="D225" s="4" t="str">
        <f ca="1">IFERROR(__xludf.DUMMYFUNCTION("""COMPUTED_VALUE"""),"http://www.calcoast.edu/")</f>
        <v>http://www.calcoast.edu/</v>
      </c>
      <c r="G225" s="2" t="str">
        <f t="shared" ca="1" si="0"/>
        <v>California Coast University</v>
      </c>
      <c r="H225" s="5" t="str">
        <f t="shared" ca="1" si="1"/>
        <v>California Coast University</v>
      </c>
      <c r="I225" s="3" t="str">
        <f t="shared" ca="1" si="2"/>
        <v>'California Coast University',</v>
      </c>
    </row>
    <row r="226" spans="1:9">
      <c r="A226" s="1" t="s">
        <v>224</v>
      </c>
      <c r="B226" s="3" t="str">
        <f ca="1">IFERROR(__xludf.DUMMYFUNCTION("SPLIT(A226,"","")"),"US")</f>
        <v>US</v>
      </c>
      <c r="C226" s="3" t="str">
        <f ca="1">IFERROR(__xludf.DUMMYFUNCTION("""COMPUTED_VALUE"""),"California College for Health Sciences")</f>
        <v>California College for Health Sciences</v>
      </c>
      <c r="D226" s="4" t="str">
        <f ca="1">IFERROR(__xludf.DUMMYFUNCTION("""COMPUTED_VALUE"""),"http://www.cchs.edu/")</f>
        <v>http://www.cchs.edu/</v>
      </c>
      <c r="G226" s="2" t="str">
        <f t="shared" ca="1" si="0"/>
        <v>California College for Health Sciences</v>
      </c>
      <c r="H226" s="5" t="str">
        <f t="shared" ca="1" si="1"/>
        <v>California College for Health Sciences</v>
      </c>
      <c r="I226" s="3" t="str">
        <f t="shared" ca="1" si="2"/>
        <v>'California College for Health Sciences',</v>
      </c>
    </row>
    <row r="227" spans="1:9">
      <c r="A227" s="1" t="s">
        <v>225</v>
      </c>
      <c r="B227" s="3" t="str">
        <f ca="1">IFERROR(__xludf.DUMMYFUNCTION("SPLIT(A227,"","")"),"US")</f>
        <v>US</v>
      </c>
      <c r="C227" s="3" t="str">
        <f ca="1">IFERROR(__xludf.DUMMYFUNCTION("""COMPUTED_VALUE"""),"California College of Arts and Crafts")</f>
        <v>California College of Arts and Crafts</v>
      </c>
      <c r="D227" s="4" t="str">
        <f ca="1">IFERROR(__xludf.DUMMYFUNCTION("""COMPUTED_VALUE"""),"http://www.ccac-art.edu/")</f>
        <v>http://www.ccac-art.edu/</v>
      </c>
      <c r="G227" s="2" t="str">
        <f t="shared" ca="1" si="0"/>
        <v>California College of Arts and Crafts</v>
      </c>
      <c r="H227" s="5" t="str">
        <f t="shared" ca="1" si="1"/>
        <v>California College of Arts and Crafts</v>
      </c>
      <c r="I227" s="3" t="str">
        <f t="shared" ca="1" si="2"/>
        <v>'California College of Arts and Crafts',</v>
      </c>
    </row>
    <row r="228" spans="1:9">
      <c r="A228" s="1" t="s">
        <v>226</v>
      </c>
      <c r="B228" s="3" t="str">
        <f ca="1">IFERROR(__xludf.DUMMYFUNCTION("SPLIT(A228,"","")"),"US")</f>
        <v>US</v>
      </c>
      <c r="C228" s="3" t="str">
        <f ca="1">IFERROR(__xludf.DUMMYFUNCTION("""COMPUTED_VALUE"""),"California College of Podiatric Medicine")</f>
        <v>California College of Podiatric Medicine</v>
      </c>
      <c r="D228" s="4" t="str">
        <f ca="1">IFERROR(__xludf.DUMMYFUNCTION("""COMPUTED_VALUE"""),"http://www.ccpm.edu/")</f>
        <v>http://www.ccpm.edu/</v>
      </c>
      <c r="G228" s="2" t="str">
        <f t="shared" ca="1" si="0"/>
        <v>California College of Podiatric Medicine</v>
      </c>
      <c r="H228" s="5" t="str">
        <f t="shared" ca="1" si="1"/>
        <v>California College of Podiatric Medicine</v>
      </c>
      <c r="I228" s="3" t="str">
        <f t="shared" ca="1" si="2"/>
        <v>'California College of Podiatric Medicine',</v>
      </c>
    </row>
    <row r="229" spans="1:9">
      <c r="A229" s="1" t="s">
        <v>227</v>
      </c>
      <c r="B229" s="3" t="str">
        <f ca="1">IFERROR(__xludf.DUMMYFUNCTION("SPLIT(A229,"","")"),"US")</f>
        <v>US</v>
      </c>
      <c r="C229" s="3" t="str">
        <f ca="1">IFERROR(__xludf.DUMMYFUNCTION("""COMPUTED_VALUE"""),"California College San Diego")</f>
        <v>California College San Diego</v>
      </c>
      <c r="D229" s="4" t="str">
        <f ca="1">IFERROR(__xludf.DUMMYFUNCTION("""COMPUTED_VALUE"""),"http://www.cc-sd.edu/")</f>
        <v>http://www.cc-sd.edu/</v>
      </c>
      <c r="G229" s="2" t="str">
        <f t="shared" ca="1" si="0"/>
        <v>California College San Diego</v>
      </c>
      <c r="H229" s="5" t="str">
        <f t="shared" ca="1" si="1"/>
        <v>California College San Diego</v>
      </c>
      <c r="I229" s="3" t="str">
        <f t="shared" ca="1" si="2"/>
        <v>'California College San Diego',</v>
      </c>
    </row>
    <row r="230" spans="1:9">
      <c r="A230" s="1" t="s">
        <v>228</v>
      </c>
      <c r="B230" s="3" t="str">
        <f ca="1">IFERROR(__xludf.DUMMYFUNCTION("SPLIT(A230,"","")"),"US")</f>
        <v>US</v>
      </c>
      <c r="C230" s="3" t="str">
        <f ca="1">IFERROR(__xludf.DUMMYFUNCTION("""COMPUTED_VALUE"""),"California Institute of Integral Studies")</f>
        <v>California Institute of Integral Studies</v>
      </c>
      <c r="D230" s="4" t="str">
        <f ca="1">IFERROR(__xludf.DUMMYFUNCTION("""COMPUTED_VALUE"""),"http://www.ciis.edu/")</f>
        <v>http://www.ciis.edu/</v>
      </c>
      <c r="G230" s="2" t="str">
        <f t="shared" ca="1" si="0"/>
        <v>California Institute of Integral Studies</v>
      </c>
      <c r="H230" s="5" t="str">
        <f t="shared" ca="1" si="1"/>
        <v>California Institute of Integral Studies</v>
      </c>
      <c r="I230" s="3" t="str">
        <f t="shared" ca="1" si="2"/>
        <v>'California Institute of Integral Studies',</v>
      </c>
    </row>
    <row r="231" spans="1:9">
      <c r="A231" s="1" t="s">
        <v>229</v>
      </c>
      <c r="B231" s="3" t="str">
        <f ca="1">IFERROR(__xludf.DUMMYFUNCTION("SPLIT(A231,"","")"),"US")</f>
        <v>US</v>
      </c>
      <c r="C231" s="3" t="str">
        <f ca="1">IFERROR(__xludf.DUMMYFUNCTION("""COMPUTED_VALUE"""),"California Institute of Technology")</f>
        <v>California Institute of Technology</v>
      </c>
      <c r="D231" s="4" t="str">
        <f ca="1">IFERROR(__xludf.DUMMYFUNCTION("""COMPUTED_VALUE"""),"http://www.caltech.edu/")</f>
        <v>http://www.caltech.edu/</v>
      </c>
      <c r="G231" s="2" t="str">
        <f t="shared" ca="1" si="0"/>
        <v>California Institute of Technology</v>
      </c>
      <c r="H231" s="5" t="str">
        <f t="shared" ca="1" si="1"/>
        <v>California Institute of Technology</v>
      </c>
      <c r="I231" s="3" t="str">
        <f t="shared" ca="1" si="2"/>
        <v>'California Institute of Technology',</v>
      </c>
    </row>
    <row r="232" spans="1:9">
      <c r="A232" s="1" t="s">
        <v>230</v>
      </c>
      <c r="B232" s="3" t="str">
        <f ca="1">IFERROR(__xludf.DUMMYFUNCTION("SPLIT(A232,"","")"),"US")</f>
        <v>US</v>
      </c>
      <c r="C232" s="3" t="str">
        <f ca="1">IFERROR(__xludf.DUMMYFUNCTION("""COMPUTED_VALUE"""),"California Institute of the Arts")</f>
        <v>California Institute of the Arts</v>
      </c>
      <c r="D232" s="4" t="str">
        <f ca="1">IFERROR(__xludf.DUMMYFUNCTION("""COMPUTED_VALUE"""),"http://www.calarts.edu/")</f>
        <v>http://www.calarts.edu/</v>
      </c>
      <c r="G232" s="2" t="str">
        <f t="shared" ca="1" si="0"/>
        <v>California Institute of the Arts</v>
      </c>
      <c r="H232" s="5" t="str">
        <f t="shared" ca="1" si="1"/>
        <v>California Institute of the Arts</v>
      </c>
      <c r="I232" s="3" t="str">
        <f t="shared" ca="1" si="2"/>
        <v>'California Institute of the Arts',</v>
      </c>
    </row>
    <row r="233" spans="1:9">
      <c r="A233" s="1" t="s">
        <v>231</v>
      </c>
      <c r="B233" s="3" t="str">
        <f ca="1">IFERROR(__xludf.DUMMYFUNCTION("SPLIT(A233,"","")"),"US")</f>
        <v>US</v>
      </c>
      <c r="C233" s="3" t="str">
        <f ca="1">IFERROR(__xludf.DUMMYFUNCTION("""COMPUTED_VALUE"""),"California Lutheran University")</f>
        <v>California Lutheran University</v>
      </c>
      <c r="D233" s="4" t="str">
        <f ca="1">IFERROR(__xludf.DUMMYFUNCTION("""COMPUTED_VALUE"""),"http://www.callutheran.edu/")</f>
        <v>http://www.callutheran.edu/</v>
      </c>
      <c r="G233" s="2" t="str">
        <f t="shared" ca="1" si="0"/>
        <v>California Lutheran University</v>
      </c>
      <c r="H233" s="5" t="str">
        <f t="shared" ca="1" si="1"/>
        <v>California Lutheran University</v>
      </c>
      <c r="I233" s="3" t="str">
        <f t="shared" ca="1" si="2"/>
        <v>'California Lutheran University',</v>
      </c>
    </row>
    <row r="234" spans="1:9">
      <c r="A234" s="1" t="s">
        <v>232</v>
      </c>
      <c r="B234" s="3" t="str">
        <f ca="1">IFERROR(__xludf.DUMMYFUNCTION("SPLIT(A234,"","")"),"US")</f>
        <v>US</v>
      </c>
      <c r="C234" s="3" t="str">
        <f ca="1">IFERROR(__xludf.DUMMYFUNCTION("""COMPUTED_VALUE"""),"California Maritime Academy")</f>
        <v>California Maritime Academy</v>
      </c>
      <c r="D234" s="4" t="str">
        <f ca="1">IFERROR(__xludf.DUMMYFUNCTION("""COMPUTED_VALUE"""),"http://www.csum.edu/")</f>
        <v>http://www.csum.edu/</v>
      </c>
      <c r="G234" s="2" t="str">
        <f t="shared" ca="1" si="0"/>
        <v>California Maritime Academy</v>
      </c>
      <c r="H234" s="5" t="str">
        <f t="shared" ca="1" si="1"/>
        <v>California Maritime Academy</v>
      </c>
      <c r="I234" s="3" t="str">
        <f t="shared" ca="1" si="2"/>
        <v>'California Maritime Academy',</v>
      </c>
    </row>
    <row r="235" spans="1:9">
      <c r="A235" s="1" t="s">
        <v>233</v>
      </c>
      <c r="B235" s="3" t="str">
        <f ca="1">IFERROR(__xludf.DUMMYFUNCTION("SPLIT(A235,"","")"),"US")</f>
        <v>US</v>
      </c>
      <c r="C235" s="3" t="str">
        <f ca="1">IFERROR(__xludf.DUMMYFUNCTION("""COMPUTED_VALUE"""),"California Polytechnic State University - San Luis Obispo")</f>
        <v>California Polytechnic State University - San Luis Obispo</v>
      </c>
      <c r="D235" s="4" t="str">
        <f ca="1">IFERROR(__xludf.DUMMYFUNCTION("""COMPUTED_VALUE"""),"http://www.calpoly.edu/")</f>
        <v>http://www.calpoly.edu/</v>
      </c>
      <c r="G235" s="2" t="str">
        <f t="shared" ca="1" si="0"/>
        <v>California Polytechnic State University - San Luis Obispo</v>
      </c>
      <c r="H235" s="5" t="str">
        <f t="shared" ca="1" si="1"/>
        <v>California Polytechnic State University - San Luis Obispo</v>
      </c>
      <c r="I235" s="3" t="str">
        <f t="shared" ca="1" si="2"/>
        <v>'California Polytechnic State University - San Luis Obispo',</v>
      </c>
    </row>
    <row r="236" spans="1:9">
      <c r="A236" s="1" t="s">
        <v>234</v>
      </c>
      <c r="B236" s="3" t="str">
        <f ca="1">IFERROR(__xludf.DUMMYFUNCTION("SPLIT(A236,"","")"),"US")</f>
        <v>US</v>
      </c>
      <c r="C236" s="3" t="str">
        <f ca="1">IFERROR(__xludf.DUMMYFUNCTION("""COMPUTED_VALUE"""),"California School of Professional Psychology - Berkley/Alameda")</f>
        <v>California School of Professional Psychology - Berkley/Alameda</v>
      </c>
      <c r="D236" s="4" t="str">
        <f ca="1">IFERROR(__xludf.DUMMYFUNCTION("""COMPUTED_VALUE"""),"http://www.cspp.edu/")</f>
        <v>http://www.cspp.edu/</v>
      </c>
      <c r="G236" s="2" t="str">
        <f t="shared" ca="1" si="0"/>
        <v>California School of Professional Psychology - Berkley/Alameda</v>
      </c>
      <c r="H236" s="5" t="str">
        <f t="shared" ca="1" si="1"/>
        <v>California School of Professional Psychology - Berkley/Alameda</v>
      </c>
      <c r="I236" s="3" t="str">
        <f t="shared" ca="1" si="2"/>
        <v>'California School of Professional Psychology - Berkley/Alameda',</v>
      </c>
    </row>
    <row r="237" spans="1:9">
      <c r="A237" s="1" t="s">
        <v>235</v>
      </c>
      <c r="B237" s="3" t="str">
        <f ca="1">IFERROR(__xludf.DUMMYFUNCTION("SPLIT(A237,"","")"),"US")</f>
        <v>US</v>
      </c>
      <c r="C237" s="3" t="str">
        <f ca="1">IFERROR(__xludf.DUMMYFUNCTION("""COMPUTED_VALUE"""),"California School of Professional Psychology - Fresno")</f>
        <v>California School of Professional Psychology - Fresno</v>
      </c>
      <c r="D237" s="4" t="str">
        <f ca="1">IFERROR(__xludf.DUMMYFUNCTION("""COMPUTED_VALUE"""),"http://www.cspp.edu/catalog/8.htm")</f>
        <v>http://www.cspp.edu/catalog/8.htm</v>
      </c>
      <c r="G237" s="2" t="str">
        <f t="shared" ca="1" si="0"/>
        <v>California School of Professional Psychology - Fresno</v>
      </c>
      <c r="H237" s="5" t="str">
        <f t="shared" ca="1" si="1"/>
        <v>California School of Professional Psychology - Fresno</v>
      </c>
      <c r="I237" s="3" t="str">
        <f t="shared" ca="1" si="2"/>
        <v>'California School of Professional Psychology - Fresno',</v>
      </c>
    </row>
    <row r="238" spans="1:9">
      <c r="A238" s="1" t="s">
        <v>236</v>
      </c>
      <c r="B238" s="3" t="str">
        <f ca="1">IFERROR(__xludf.DUMMYFUNCTION("SPLIT(A238,"","")"),"US")</f>
        <v>US</v>
      </c>
      <c r="C238" s="3" t="str">
        <f ca="1">IFERROR(__xludf.DUMMYFUNCTION("""COMPUTED_VALUE"""),"California School of Professional Psychology - Los Angels")</f>
        <v>California School of Professional Psychology - Los Angels</v>
      </c>
      <c r="D238" s="4" t="str">
        <f ca="1">IFERROR(__xludf.DUMMYFUNCTION("""COMPUTED_VALUE"""),"http://www.cspp.edu/catalog/9.htm")</f>
        <v>http://www.cspp.edu/catalog/9.htm</v>
      </c>
      <c r="G238" s="2" t="str">
        <f t="shared" ca="1" si="0"/>
        <v>California School of Professional Psychology - Los Angels</v>
      </c>
      <c r="H238" s="5" t="str">
        <f t="shared" ca="1" si="1"/>
        <v>California School of Professional Psychology - Los Angels</v>
      </c>
      <c r="I238" s="3" t="str">
        <f t="shared" ca="1" si="2"/>
        <v>'California School of Professional Psychology - Los Angels',</v>
      </c>
    </row>
    <row r="239" spans="1:9">
      <c r="A239" s="1" t="s">
        <v>237</v>
      </c>
      <c r="B239" s="3" t="str">
        <f ca="1">IFERROR(__xludf.DUMMYFUNCTION("SPLIT(A239,"","")"),"US")</f>
        <v>US</v>
      </c>
      <c r="C239" s="3" t="str">
        <f ca="1">IFERROR(__xludf.DUMMYFUNCTION("""COMPUTED_VALUE"""),"California School of Professional Psychology - San Diego")</f>
        <v>California School of Professional Psychology - San Diego</v>
      </c>
      <c r="D239" s="4" t="str">
        <f ca="1">IFERROR(__xludf.DUMMYFUNCTION("""COMPUTED_VALUE"""),"http://www.cspp.edu/catalog/10.htm")</f>
        <v>http://www.cspp.edu/catalog/10.htm</v>
      </c>
      <c r="G239" s="2" t="str">
        <f t="shared" ca="1" si="0"/>
        <v>California School of Professional Psychology - San Diego</v>
      </c>
      <c r="H239" s="5" t="str">
        <f t="shared" ca="1" si="1"/>
        <v>California School of Professional Psychology - San Diego</v>
      </c>
      <c r="I239" s="3" t="str">
        <f t="shared" ca="1" si="2"/>
        <v>'California School of Professional Psychology - San Diego',</v>
      </c>
    </row>
    <row r="240" spans="1:9">
      <c r="A240" s="1" t="s">
        <v>238</v>
      </c>
      <c r="B240" s="3" t="str">
        <f ca="1">IFERROR(__xludf.DUMMYFUNCTION("SPLIT(A240,"","")"),"US")</f>
        <v>US</v>
      </c>
      <c r="C240" s="3" t="str">
        <f ca="1">IFERROR(__xludf.DUMMYFUNCTION("""COMPUTED_VALUE"""),"California State Polytechnic University - Pomona")</f>
        <v>California State Polytechnic University - Pomona</v>
      </c>
      <c r="D240" s="4" t="str">
        <f ca="1">IFERROR(__xludf.DUMMYFUNCTION("""COMPUTED_VALUE"""),"http://www.csupomona.edu/")</f>
        <v>http://www.csupomona.edu/</v>
      </c>
      <c r="G240" s="2" t="str">
        <f t="shared" ca="1" si="0"/>
        <v>California State Polytechnic University - Pomona</v>
      </c>
      <c r="H240" s="5" t="str">
        <f t="shared" ca="1" si="1"/>
        <v>California State Polytechnic University - Pomona</v>
      </c>
      <c r="I240" s="3" t="str">
        <f t="shared" ca="1" si="2"/>
        <v>'California State Polytechnic University - Pomona',</v>
      </c>
    </row>
    <row r="241" spans="1:9">
      <c r="A241" s="1" t="s">
        <v>239</v>
      </c>
      <c r="B241" s="3" t="str">
        <f ca="1">IFERROR(__xludf.DUMMYFUNCTION("SPLIT(A241,"","")"),"US")</f>
        <v>US</v>
      </c>
      <c r="C241" s="3" t="str">
        <f ca="1">IFERROR(__xludf.DUMMYFUNCTION("""COMPUTED_VALUE"""),"""California State University")</f>
        <v>"California State University</v>
      </c>
      <c r="D241" s="3" t="str">
        <f ca="1">IFERROR(__xludf.DUMMYFUNCTION("""COMPUTED_VALUE""")," Bakersfield""")</f>
        <v xml:space="preserve"> Bakersfield"</v>
      </c>
      <c r="E241" s="4" t="str">
        <f ca="1">IFERROR(__xludf.DUMMYFUNCTION("""COMPUTED_VALUE"""),"http://www.csubak.edu/")</f>
        <v>http://www.csubak.edu/</v>
      </c>
      <c r="G241" s="2" t="str">
        <f t="shared" ca="1" si="0"/>
        <v>"California State University</v>
      </c>
      <c r="H241" s="5" t="str">
        <f t="shared" ca="1" si="1"/>
        <v>California State University</v>
      </c>
      <c r="I241" s="3" t="str">
        <f t="shared" ca="1" si="2"/>
        <v>'California State University',</v>
      </c>
    </row>
    <row r="242" spans="1:9">
      <c r="A242" s="1" t="s">
        <v>240</v>
      </c>
      <c r="B242" s="3" t="str">
        <f ca="1">IFERROR(__xludf.DUMMYFUNCTION("SPLIT(A242,"","")"),"US")</f>
        <v>US</v>
      </c>
      <c r="C242" s="3" t="str">
        <f ca="1">IFERROR(__xludf.DUMMYFUNCTION("""COMPUTED_VALUE"""),"""California State University")</f>
        <v>"California State University</v>
      </c>
      <c r="D242" s="3" t="str">
        <f ca="1">IFERROR(__xludf.DUMMYFUNCTION("""COMPUTED_VALUE""")," Channel Islands""")</f>
        <v xml:space="preserve"> Channel Islands"</v>
      </c>
      <c r="E242" s="4" t="str">
        <f ca="1">IFERROR(__xludf.DUMMYFUNCTION("""COMPUTED_VALUE"""),"http://www.csuci.edu/")</f>
        <v>http://www.csuci.edu/</v>
      </c>
      <c r="G242" s="2" t="str">
        <f t="shared" ca="1" si="0"/>
        <v>"California State University</v>
      </c>
      <c r="H242" s="5" t="str">
        <f t="shared" ca="1" si="1"/>
        <v>California State University</v>
      </c>
      <c r="I242" s="3" t="str">
        <f t="shared" ca="1" si="2"/>
        <v>'California State University',</v>
      </c>
    </row>
    <row r="243" spans="1:9">
      <c r="A243" s="1" t="s">
        <v>241</v>
      </c>
      <c r="B243" s="3" t="str">
        <f ca="1">IFERROR(__xludf.DUMMYFUNCTION("SPLIT(A243,"","")"),"US")</f>
        <v>US</v>
      </c>
      <c r="C243" s="3" t="str">
        <f ca="1">IFERROR(__xludf.DUMMYFUNCTION("""COMPUTED_VALUE"""),"""California State University")</f>
        <v>"California State University</v>
      </c>
      <c r="D243" s="3" t="str">
        <f ca="1">IFERROR(__xludf.DUMMYFUNCTION("""COMPUTED_VALUE""")," Chico""")</f>
        <v xml:space="preserve"> Chico"</v>
      </c>
      <c r="E243" s="4" t="str">
        <f ca="1">IFERROR(__xludf.DUMMYFUNCTION("""COMPUTED_VALUE"""),"http://www.csuchico.edu/")</f>
        <v>http://www.csuchico.edu/</v>
      </c>
      <c r="G243" s="2" t="str">
        <f t="shared" ca="1" si="0"/>
        <v>"California State University</v>
      </c>
      <c r="H243" s="5" t="str">
        <f t="shared" ca="1" si="1"/>
        <v>California State University</v>
      </c>
      <c r="I243" s="3" t="str">
        <f t="shared" ca="1" si="2"/>
        <v>'California State University',</v>
      </c>
    </row>
    <row r="244" spans="1:9">
      <c r="A244" s="1" t="s">
        <v>242</v>
      </c>
      <c r="B244" s="3" t="str">
        <f ca="1">IFERROR(__xludf.DUMMYFUNCTION("SPLIT(A244,"","")"),"US")</f>
        <v>US</v>
      </c>
      <c r="C244" s="3" t="str">
        <f ca="1">IFERROR(__xludf.DUMMYFUNCTION("""COMPUTED_VALUE"""),"""California State University")</f>
        <v>"California State University</v>
      </c>
      <c r="D244" s="3" t="str">
        <f ca="1">IFERROR(__xludf.DUMMYFUNCTION("""COMPUTED_VALUE""")," Dominguez Hills""")</f>
        <v xml:space="preserve"> Dominguez Hills"</v>
      </c>
      <c r="E244" s="4" t="str">
        <f ca="1">IFERROR(__xludf.DUMMYFUNCTION("""COMPUTED_VALUE"""),"http://www.csudh.edu/")</f>
        <v>http://www.csudh.edu/</v>
      </c>
      <c r="G244" s="2" t="str">
        <f t="shared" ca="1" si="0"/>
        <v>"California State University</v>
      </c>
      <c r="H244" s="5" t="str">
        <f t="shared" ca="1" si="1"/>
        <v>California State University</v>
      </c>
      <c r="I244" s="3" t="str">
        <f t="shared" ca="1" si="2"/>
        <v>'California State University',</v>
      </c>
    </row>
    <row r="245" spans="1:9">
      <c r="A245" s="1" t="s">
        <v>243</v>
      </c>
      <c r="B245" s="3" t="str">
        <f ca="1">IFERROR(__xludf.DUMMYFUNCTION("SPLIT(A245,"","")"),"US")</f>
        <v>US</v>
      </c>
      <c r="C245" s="3" t="str">
        <f ca="1">IFERROR(__xludf.DUMMYFUNCTION("""COMPUTED_VALUE"""),"""California State University")</f>
        <v>"California State University</v>
      </c>
      <c r="D245" s="3" t="str">
        <f ca="1">IFERROR(__xludf.DUMMYFUNCTION("""COMPUTED_VALUE""")," Fresno""")</f>
        <v xml:space="preserve"> Fresno"</v>
      </c>
      <c r="E245" s="4" t="str">
        <f ca="1">IFERROR(__xludf.DUMMYFUNCTION("""COMPUTED_VALUE"""),"http://www.csufresno.edu/")</f>
        <v>http://www.csufresno.edu/</v>
      </c>
      <c r="G245" s="2" t="str">
        <f t="shared" ca="1" si="0"/>
        <v>"California State University</v>
      </c>
      <c r="H245" s="5" t="str">
        <f t="shared" ca="1" si="1"/>
        <v>California State University</v>
      </c>
      <c r="I245" s="3" t="str">
        <f t="shared" ca="1" si="2"/>
        <v>'California State University',</v>
      </c>
    </row>
    <row r="246" spans="1:9">
      <c r="A246" s="1" t="s">
        <v>244</v>
      </c>
      <c r="B246" s="3" t="str">
        <f ca="1">IFERROR(__xludf.DUMMYFUNCTION("SPLIT(A246,"","")"),"US")</f>
        <v>US</v>
      </c>
      <c r="C246" s="3" t="str">
        <f ca="1">IFERROR(__xludf.DUMMYFUNCTION("""COMPUTED_VALUE"""),"""California State University")</f>
        <v>"California State University</v>
      </c>
      <c r="D246" s="3" t="str">
        <f ca="1">IFERROR(__xludf.DUMMYFUNCTION("""COMPUTED_VALUE""")," Fullerton""")</f>
        <v xml:space="preserve"> Fullerton"</v>
      </c>
      <c r="E246" s="4" t="str">
        <f ca="1">IFERROR(__xludf.DUMMYFUNCTION("""COMPUTED_VALUE"""),"http://www.fullerton.edu/")</f>
        <v>http://www.fullerton.edu/</v>
      </c>
      <c r="G246" s="2" t="str">
        <f t="shared" ca="1" si="0"/>
        <v>"California State University</v>
      </c>
      <c r="H246" s="5" t="str">
        <f t="shared" ca="1" si="1"/>
        <v>California State University</v>
      </c>
      <c r="I246" s="3" t="str">
        <f t="shared" ca="1" si="2"/>
        <v>'California State University',</v>
      </c>
    </row>
    <row r="247" spans="1:9">
      <c r="A247" s="1" t="s">
        <v>245</v>
      </c>
      <c r="B247" s="3" t="str">
        <f ca="1">IFERROR(__xludf.DUMMYFUNCTION("SPLIT(A247,"","")"),"US")</f>
        <v>US</v>
      </c>
      <c r="C247" s="3" t="str">
        <f ca="1">IFERROR(__xludf.DUMMYFUNCTION("""COMPUTED_VALUE"""),"""California State University")</f>
        <v>"California State University</v>
      </c>
      <c r="D247" s="3" t="str">
        <f ca="1">IFERROR(__xludf.DUMMYFUNCTION("""COMPUTED_VALUE""")," Hayward""")</f>
        <v xml:space="preserve"> Hayward"</v>
      </c>
      <c r="E247" s="4" t="str">
        <f ca="1">IFERROR(__xludf.DUMMYFUNCTION("""COMPUTED_VALUE"""),"http://www.csuhayward.edu/")</f>
        <v>http://www.csuhayward.edu/</v>
      </c>
      <c r="G247" s="2" t="str">
        <f t="shared" ca="1" si="0"/>
        <v>"California State University</v>
      </c>
      <c r="H247" s="5" t="str">
        <f t="shared" ca="1" si="1"/>
        <v>California State University</v>
      </c>
      <c r="I247" s="3" t="str">
        <f t="shared" ca="1" si="2"/>
        <v>'California State University',</v>
      </c>
    </row>
    <row r="248" spans="1:9">
      <c r="A248" s="1" t="s">
        <v>246</v>
      </c>
      <c r="B248" s="3" t="str">
        <f ca="1">IFERROR(__xludf.DUMMYFUNCTION("SPLIT(A248,"","")"),"US")</f>
        <v>US</v>
      </c>
      <c r="C248" s="3" t="str">
        <f ca="1">IFERROR(__xludf.DUMMYFUNCTION("""COMPUTED_VALUE"""),"""California State University")</f>
        <v>"California State University</v>
      </c>
      <c r="D248" s="3" t="str">
        <f ca="1">IFERROR(__xludf.DUMMYFUNCTION("""COMPUTED_VALUE""")," Long Beach""")</f>
        <v xml:space="preserve"> Long Beach"</v>
      </c>
      <c r="E248" s="4" t="str">
        <f ca="1">IFERROR(__xludf.DUMMYFUNCTION("""COMPUTED_VALUE"""),"http://www.csulb.edu/")</f>
        <v>http://www.csulb.edu/</v>
      </c>
      <c r="G248" s="2" t="str">
        <f t="shared" ca="1" si="0"/>
        <v>"California State University</v>
      </c>
      <c r="H248" s="5" t="str">
        <f t="shared" ca="1" si="1"/>
        <v>California State University</v>
      </c>
      <c r="I248" s="3" t="str">
        <f t="shared" ca="1" si="2"/>
        <v>'California State University',</v>
      </c>
    </row>
    <row r="249" spans="1:9">
      <c r="A249" s="1" t="s">
        <v>247</v>
      </c>
      <c r="B249" s="3" t="str">
        <f ca="1">IFERROR(__xludf.DUMMYFUNCTION("SPLIT(A249,"","")"),"US")</f>
        <v>US</v>
      </c>
      <c r="C249" s="3" t="str">
        <f ca="1">IFERROR(__xludf.DUMMYFUNCTION("""COMPUTED_VALUE"""),"""California State University")</f>
        <v>"California State University</v>
      </c>
      <c r="D249" s="3" t="str">
        <f ca="1">IFERROR(__xludf.DUMMYFUNCTION("""COMPUTED_VALUE""")," Los Angeles""")</f>
        <v xml:space="preserve"> Los Angeles"</v>
      </c>
      <c r="E249" s="4" t="str">
        <f ca="1">IFERROR(__xludf.DUMMYFUNCTION("""COMPUTED_VALUE"""),"http://www.calstatela.edu/")</f>
        <v>http://www.calstatela.edu/</v>
      </c>
      <c r="G249" s="2" t="str">
        <f t="shared" ca="1" si="0"/>
        <v>"California State University</v>
      </c>
      <c r="H249" s="5" t="str">
        <f t="shared" ca="1" si="1"/>
        <v>California State University</v>
      </c>
      <c r="I249" s="3" t="str">
        <f t="shared" ca="1" si="2"/>
        <v>'California State University',</v>
      </c>
    </row>
    <row r="250" spans="1:9">
      <c r="A250" s="1" t="s">
        <v>248</v>
      </c>
      <c r="B250" s="3" t="str">
        <f ca="1">IFERROR(__xludf.DUMMYFUNCTION("SPLIT(A250,"","")"),"US")</f>
        <v>US</v>
      </c>
      <c r="C250" s="3" t="str">
        <f ca="1">IFERROR(__xludf.DUMMYFUNCTION("""COMPUTED_VALUE"""),"""California State University")</f>
        <v>"California State University</v>
      </c>
      <c r="D250" s="3" t="str">
        <f ca="1">IFERROR(__xludf.DUMMYFUNCTION("""COMPUTED_VALUE""")," Monterey Bay""")</f>
        <v xml:space="preserve"> Monterey Bay"</v>
      </c>
      <c r="E250" s="4" t="str">
        <f ca="1">IFERROR(__xludf.DUMMYFUNCTION("""COMPUTED_VALUE"""),"http://www.monterey.edu/")</f>
        <v>http://www.monterey.edu/</v>
      </c>
      <c r="G250" s="2" t="str">
        <f t="shared" ca="1" si="0"/>
        <v>"California State University</v>
      </c>
      <c r="H250" s="5" t="str">
        <f t="shared" ca="1" si="1"/>
        <v>California State University</v>
      </c>
      <c r="I250" s="3" t="str">
        <f t="shared" ca="1" si="2"/>
        <v>'California State University',</v>
      </c>
    </row>
    <row r="251" spans="1:9">
      <c r="A251" s="1" t="s">
        <v>249</v>
      </c>
      <c r="B251" s="3" t="str">
        <f ca="1">IFERROR(__xludf.DUMMYFUNCTION("SPLIT(A251,"","")"),"US")</f>
        <v>US</v>
      </c>
      <c r="C251" s="3" t="str">
        <f ca="1">IFERROR(__xludf.DUMMYFUNCTION("""COMPUTED_VALUE"""),"""California State University")</f>
        <v>"California State University</v>
      </c>
      <c r="D251" s="3" t="str">
        <f ca="1">IFERROR(__xludf.DUMMYFUNCTION("""COMPUTED_VALUE""")," Northridge""")</f>
        <v xml:space="preserve"> Northridge"</v>
      </c>
      <c r="E251" s="4" t="str">
        <f ca="1">IFERROR(__xludf.DUMMYFUNCTION("""COMPUTED_VALUE"""),"http://www.csun.edu/")</f>
        <v>http://www.csun.edu/</v>
      </c>
      <c r="G251" s="2" t="str">
        <f t="shared" ca="1" si="0"/>
        <v>"California State University</v>
      </c>
      <c r="H251" s="5" t="str">
        <f t="shared" ca="1" si="1"/>
        <v>California State University</v>
      </c>
      <c r="I251" s="3" t="str">
        <f t="shared" ca="1" si="2"/>
        <v>'California State University',</v>
      </c>
    </row>
    <row r="252" spans="1:9">
      <c r="A252" s="1" t="s">
        <v>250</v>
      </c>
      <c r="B252" s="3" t="str">
        <f ca="1">IFERROR(__xludf.DUMMYFUNCTION("SPLIT(A252,"","")"),"US")</f>
        <v>US</v>
      </c>
      <c r="C252" s="3" t="str">
        <f ca="1">IFERROR(__xludf.DUMMYFUNCTION("""COMPUTED_VALUE"""),"""California State University")</f>
        <v>"California State University</v>
      </c>
      <c r="D252" s="3" t="str">
        <f ca="1">IFERROR(__xludf.DUMMYFUNCTION("""COMPUTED_VALUE""")," Sacramento""")</f>
        <v xml:space="preserve"> Sacramento"</v>
      </c>
      <c r="E252" s="4" t="str">
        <f ca="1">IFERROR(__xludf.DUMMYFUNCTION("""COMPUTED_VALUE"""),"http://www.csus.edu/")</f>
        <v>http://www.csus.edu/</v>
      </c>
      <c r="G252" s="2" t="str">
        <f t="shared" ca="1" si="0"/>
        <v>"California State University</v>
      </c>
      <c r="H252" s="5" t="str">
        <f t="shared" ca="1" si="1"/>
        <v>California State University</v>
      </c>
      <c r="I252" s="3" t="str">
        <f t="shared" ca="1" si="2"/>
        <v>'California State University',</v>
      </c>
    </row>
    <row r="253" spans="1:9">
      <c r="A253" s="1" t="s">
        <v>251</v>
      </c>
      <c r="B253" s="3" t="str">
        <f ca="1">IFERROR(__xludf.DUMMYFUNCTION("SPLIT(A253,"","")"),"US")</f>
        <v>US</v>
      </c>
      <c r="C253" s="3" t="str">
        <f ca="1">IFERROR(__xludf.DUMMYFUNCTION("""COMPUTED_VALUE"""),"""California State University")</f>
        <v>"California State University</v>
      </c>
      <c r="D253" s="3" t="str">
        <f ca="1">IFERROR(__xludf.DUMMYFUNCTION("""COMPUTED_VALUE""")," San Bernadino""")</f>
        <v xml:space="preserve"> San Bernadino"</v>
      </c>
      <c r="E253" s="4" t="str">
        <f ca="1">IFERROR(__xludf.DUMMYFUNCTION("""COMPUTED_VALUE"""),"http://www.csusb.edu/")</f>
        <v>http://www.csusb.edu/</v>
      </c>
      <c r="G253" s="2" t="str">
        <f t="shared" ca="1" si="0"/>
        <v>"California State University</v>
      </c>
      <c r="H253" s="5" t="str">
        <f t="shared" ca="1" si="1"/>
        <v>California State University</v>
      </c>
      <c r="I253" s="3" t="str">
        <f t="shared" ca="1" si="2"/>
        <v>'California State University',</v>
      </c>
    </row>
    <row r="254" spans="1:9">
      <c r="A254" s="1" t="s">
        <v>252</v>
      </c>
      <c r="B254" s="3" t="str">
        <f ca="1">IFERROR(__xludf.DUMMYFUNCTION("SPLIT(A254,"","")"),"US")</f>
        <v>US</v>
      </c>
      <c r="C254" s="3" t="str">
        <f ca="1">IFERROR(__xludf.DUMMYFUNCTION("""COMPUTED_VALUE"""),"""California State University")</f>
        <v>"California State University</v>
      </c>
      <c r="D254" s="3" t="str">
        <f ca="1">IFERROR(__xludf.DUMMYFUNCTION("""COMPUTED_VALUE""")," San Marcos""")</f>
        <v xml:space="preserve"> San Marcos"</v>
      </c>
      <c r="E254" s="4" t="str">
        <f ca="1">IFERROR(__xludf.DUMMYFUNCTION("""COMPUTED_VALUE"""),"http://www.csusm.edu/")</f>
        <v>http://www.csusm.edu/</v>
      </c>
      <c r="G254" s="2" t="str">
        <f t="shared" ca="1" si="0"/>
        <v>"California State University</v>
      </c>
      <c r="H254" s="5" t="str">
        <f t="shared" ca="1" si="1"/>
        <v>California State University</v>
      </c>
      <c r="I254" s="3" t="str">
        <f t="shared" ca="1" si="2"/>
        <v>'California State University',</v>
      </c>
    </row>
    <row r="255" spans="1:9">
      <c r="A255" s="1" t="s">
        <v>253</v>
      </c>
      <c r="B255" s="3" t="str">
        <f ca="1">IFERROR(__xludf.DUMMYFUNCTION("SPLIT(A255,"","")"),"US")</f>
        <v>US</v>
      </c>
      <c r="C255" s="3" t="str">
        <f ca="1">IFERROR(__xludf.DUMMYFUNCTION("""COMPUTED_VALUE"""),"""California State University")</f>
        <v>"California State University</v>
      </c>
      <c r="D255" s="3" t="str">
        <f ca="1">IFERROR(__xludf.DUMMYFUNCTION("""COMPUTED_VALUE""")," Stanislaus""")</f>
        <v xml:space="preserve"> Stanislaus"</v>
      </c>
      <c r="E255" s="4" t="str">
        <f ca="1">IFERROR(__xludf.DUMMYFUNCTION("""COMPUTED_VALUE"""),"http://www.csustan.edu/")</f>
        <v>http://www.csustan.edu/</v>
      </c>
      <c r="G255" s="2" t="str">
        <f t="shared" ca="1" si="0"/>
        <v>"California State University</v>
      </c>
      <c r="H255" s="5" t="str">
        <f t="shared" ca="1" si="1"/>
        <v>California State University</v>
      </c>
      <c r="I255" s="3" t="str">
        <f t="shared" ca="1" si="2"/>
        <v>'California State University',</v>
      </c>
    </row>
    <row r="256" spans="1:9">
      <c r="A256" s="1" t="s">
        <v>254</v>
      </c>
      <c r="B256" s="3" t="str">
        <f ca="1">IFERROR(__xludf.DUMMYFUNCTION("SPLIT(A256,"","")"),"US")</f>
        <v>US</v>
      </c>
      <c r="C256" s="3" t="str">
        <f ca="1">IFERROR(__xludf.DUMMYFUNCTION("""COMPUTED_VALUE"""),"California University of Management and Sciences")</f>
        <v>California University of Management and Sciences</v>
      </c>
      <c r="D256" s="4" t="str">
        <f ca="1">IFERROR(__xludf.DUMMYFUNCTION("""COMPUTED_VALUE"""),"http://cauniversity.edu.cufce.org/")</f>
        <v>http://cauniversity.edu.cufce.org/</v>
      </c>
      <c r="G256" s="2" t="str">
        <f t="shared" ca="1" si="0"/>
        <v>California University of Management and Sciences</v>
      </c>
      <c r="H256" s="5" t="str">
        <f t="shared" ca="1" si="1"/>
        <v>California University of Management and Sciences</v>
      </c>
      <c r="I256" s="3" t="str">
        <f t="shared" ca="1" si="2"/>
        <v>'California University of Management and Sciences',</v>
      </c>
    </row>
    <row r="257" spans="1:9">
      <c r="A257" s="1" t="s">
        <v>255</v>
      </c>
      <c r="B257" s="3" t="str">
        <f ca="1">IFERROR(__xludf.DUMMYFUNCTION("SPLIT(A257,"","")"),"US")</f>
        <v>US</v>
      </c>
      <c r="C257" s="3" t="str">
        <f ca="1">IFERROR(__xludf.DUMMYFUNCTION("""COMPUTED_VALUE"""),"California University of Pennsylvania")</f>
        <v>California University of Pennsylvania</v>
      </c>
      <c r="D257" s="4" t="str">
        <f ca="1">IFERROR(__xludf.DUMMYFUNCTION("""COMPUTED_VALUE"""),"http://www.cup.edu/")</f>
        <v>http://www.cup.edu/</v>
      </c>
      <c r="G257" s="2" t="str">
        <f t="shared" ca="1" si="0"/>
        <v>California University of Pennsylvania</v>
      </c>
      <c r="H257" s="5" t="str">
        <f t="shared" ca="1" si="1"/>
        <v>California University of Pennsylvania</v>
      </c>
      <c r="I257" s="3" t="str">
        <f t="shared" ca="1" si="2"/>
        <v>'California University of Pennsylvania',</v>
      </c>
    </row>
    <row r="258" spans="1:9">
      <c r="A258" s="1" t="s">
        <v>256</v>
      </c>
      <c r="B258" s="3" t="str">
        <f ca="1">IFERROR(__xludf.DUMMYFUNCTION("SPLIT(A258,"","")"),"US")</f>
        <v>US</v>
      </c>
      <c r="C258" s="3" t="str">
        <f ca="1">IFERROR(__xludf.DUMMYFUNCTION("""COMPUTED_VALUE"""),"California Western School of Law")</f>
        <v>California Western School of Law</v>
      </c>
      <c r="D258" s="4" t="str">
        <f ca="1">IFERROR(__xludf.DUMMYFUNCTION("""COMPUTED_VALUE"""),"http://www.cwsl.edu/")</f>
        <v>http://www.cwsl.edu/</v>
      </c>
      <c r="G258" s="2" t="str">
        <f t="shared" ca="1" si="0"/>
        <v>California Western School of Law</v>
      </c>
      <c r="H258" s="5" t="str">
        <f t="shared" ca="1" si="1"/>
        <v>California Western School of Law</v>
      </c>
      <c r="I258" s="3" t="str">
        <f t="shared" ca="1" si="2"/>
        <v>'California Western School of Law',</v>
      </c>
    </row>
    <row r="259" spans="1:9">
      <c r="A259" s="1" t="s">
        <v>257</v>
      </c>
      <c r="B259" s="3" t="str">
        <f ca="1">IFERROR(__xludf.DUMMYFUNCTION("SPLIT(A259,"","")"),"US")</f>
        <v>US</v>
      </c>
      <c r="C259" s="3" t="str">
        <f ca="1">IFERROR(__xludf.DUMMYFUNCTION("""COMPUTED_VALUE"""),"Calumet College of St. Joseph")</f>
        <v>Calumet College of St. Joseph</v>
      </c>
      <c r="D259" s="4" t="str">
        <f ca="1">IFERROR(__xludf.DUMMYFUNCTION("""COMPUTED_VALUE"""),"http://www.ccsj.edu/")</f>
        <v>http://www.ccsj.edu/</v>
      </c>
      <c r="G259" s="2" t="str">
        <f t="shared" ca="1" si="0"/>
        <v>Calumet College of St. Joseph</v>
      </c>
      <c r="H259" s="5" t="str">
        <f t="shared" ca="1" si="1"/>
        <v>Calumet College of St. Joseph</v>
      </c>
      <c r="I259" s="3" t="str">
        <f t="shared" ca="1" si="2"/>
        <v>'Calumet College of St. Joseph',</v>
      </c>
    </row>
    <row r="260" spans="1:9">
      <c r="A260" s="1" t="s">
        <v>258</v>
      </c>
      <c r="B260" s="3" t="str">
        <f ca="1">IFERROR(__xludf.DUMMYFUNCTION("SPLIT(A260,"","")"),"US")</f>
        <v>US</v>
      </c>
      <c r="C260" s="3" t="str">
        <f ca="1">IFERROR(__xludf.DUMMYFUNCTION("""COMPUTED_VALUE"""),"Calvary Bible College")</f>
        <v>Calvary Bible College</v>
      </c>
      <c r="D260" s="4" t="str">
        <f ca="1">IFERROR(__xludf.DUMMYFUNCTION("""COMPUTED_VALUE"""),"http://www.calvary.edu/")</f>
        <v>http://www.calvary.edu/</v>
      </c>
      <c r="G260" s="2" t="str">
        <f t="shared" ca="1" si="0"/>
        <v>Calvary Bible College</v>
      </c>
      <c r="H260" s="5" t="str">
        <f t="shared" ca="1" si="1"/>
        <v>Calvary Bible College</v>
      </c>
      <c r="I260" s="3" t="str">
        <f t="shared" ca="1" si="2"/>
        <v>'Calvary Bible College',</v>
      </c>
    </row>
    <row r="261" spans="1:9">
      <c r="A261" s="1" t="s">
        <v>259</v>
      </c>
      <c r="B261" s="3" t="str">
        <f ca="1">IFERROR(__xludf.DUMMYFUNCTION("SPLIT(A261,"","")"),"US")</f>
        <v>US</v>
      </c>
      <c r="C261" s="3" t="str">
        <f ca="1">IFERROR(__xludf.DUMMYFUNCTION("""COMPUTED_VALUE"""),"Calvin College")</f>
        <v>Calvin College</v>
      </c>
      <c r="D261" s="4" t="str">
        <f ca="1">IFERROR(__xludf.DUMMYFUNCTION("""COMPUTED_VALUE"""),"http://www.calvin.edu/")</f>
        <v>http://www.calvin.edu/</v>
      </c>
      <c r="G261" s="2" t="str">
        <f t="shared" ca="1" si="0"/>
        <v>Calvin College</v>
      </c>
      <c r="H261" s="5" t="str">
        <f t="shared" ca="1" si="1"/>
        <v>Calvin College</v>
      </c>
      <c r="I261" s="3" t="str">
        <f t="shared" ca="1" si="2"/>
        <v>'Calvin College',</v>
      </c>
    </row>
    <row r="262" spans="1:9">
      <c r="A262" s="1" t="s">
        <v>260</v>
      </c>
      <c r="B262" s="3" t="str">
        <f ca="1">IFERROR(__xludf.DUMMYFUNCTION("SPLIT(A262,"","")"),"US")</f>
        <v>US</v>
      </c>
      <c r="C262" s="3" t="str">
        <f ca="1">IFERROR(__xludf.DUMMYFUNCTION("""COMPUTED_VALUE"""),"Cambridge College")</f>
        <v>Cambridge College</v>
      </c>
      <c r="D262" s="4" t="str">
        <f ca="1">IFERROR(__xludf.DUMMYFUNCTION("""COMPUTED_VALUE"""),"http://www.cambridge.edu/")</f>
        <v>http://www.cambridge.edu/</v>
      </c>
      <c r="G262" s="2" t="str">
        <f t="shared" ca="1" si="0"/>
        <v>Cambridge College</v>
      </c>
      <c r="H262" s="5" t="str">
        <f t="shared" ca="1" si="1"/>
        <v>Cambridge College</v>
      </c>
      <c r="I262" s="3" t="str">
        <f t="shared" ca="1" si="2"/>
        <v>'Cambridge College',</v>
      </c>
    </row>
    <row r="263" spans="1:9">
      <c r="A263" s="1" t="s">
        <v>261</v>
      </c>
      <c r="B263" s="3" t="str">
        <f ca="1">IFERROR(__xludf.DUMMYFUNCTION("SPLIT(A263,"","")"),"US")</f>
        <v>US</v>
      </c>
      <c r="C263" s="3" t="str">
        <f ca="1">IFERROR(__xludf.DUMMYFUNCTION("""COMPUTED_VALUE"""),"Cameron University")</f>
        <v>Cameron University</v>
      </c>
      <c r="D263" s="4" t="str">
        <f ca="1">IFERROR(__xludf.DUMMYFUNCTION("""COMPUTED_VALUE"""),"http://www.cameron.edu/")</f>
        <v>http://www.cameron.edu/</v>
      </c>
      <c r="G263" s="2" t="str">
        <f t="shared" ca="1" si="0"/>
        <v>Cameron University</v>
      </c>
      <c r="H263" s="5" t="str">
        <f t="shared" ca="1" si="1"/>
        <v>Cameron University</v>
      </c>
      <c r="I263" s="3" t="str">
        <f t="shared" ca="1" si="2"/>
        <v>'Cameron University',</v>
      </c>
    </row>
    <row r="264" spans="1:9">
      <c r="A264" s="1" t="s">
        <v>262</v>
      </c>
      <c r="B264" s="3" t="str">
        <f ca="1">IFERROR(__xludf.DUMMYFUNCTION("SPLIT(A264,"","")"),"US")</f>
        <v>US</v>
      </c>
      <c r="C264" s="3" t="str">
        <f ca="1">IFERROR(__xludf.DUMMYFUNCTION("""COMPUTED_VALUE"""),"Campbellsville College")</f>
        <v>Campbellsville College</v>
      </c>
      <c r="D264" s="4" t="str">
        <f ca="1">IFERROR(__xludf.DUMMYFUNCTION("""COMPUTED_VALUE"""),"http://www.campbellsvil.edu/")</f>
        <v>http://www.campbellsvil.edu/</v>
      </c>
      <c r="G264" s="2" t="str">
        <f t="shared" ca="1" si="0"/>
        <v>Campbellsville College</v>
      </c>
      <c r="H264" s="5" t="str">
        <f t="shared" ca="1" si="1"/>
        <v>Campbellsville College</v>
      </c>
      <c r="I264" s="3" t="str">
        <f t="shared" ca="1" si="2"/>
        <v>'Campbellsville College',</v>
      </c>
    </row>
    <row r="265" spans="1:9">
      <c r="A265" s="1" t="s">
        <v>263</v>
      </c>
      <c r="B265" s="3" t="str">
        <f ca="1">IFERROR(__xludf.DUMMYFUNCTION("SPLIT(A265,"","")"),"US")</f>
        <v>US</v>
      </c>
      <c r="C265" s="3" t="str">
        <f ca="1">IFERROR(__xludf.DUMMYFUNCTION("""COMPUTED_VALUE"""),"Campbell University")</f>
        <v>Campbell University</v>
      </c>
      <c r="D265" s="4" t="str">
        <f ca="1">IFERROR(__xludf.DUMMYFUNCTION("""COMPUTED_VALUE"""),"http://www.campbell.edu/")</f>
        <v>http://www.campbell.edu/</v>
      </c>
      <c r="G265" s="2" t="str">
        <f t="shared" ca="1" si="0"/>
        <v>Campbell University</v>
      </c>
      <c r="H265" s="5" t="str">
        <f t="shared" ca="1" si="1"/>
        <v>Campbell University</v>
      </c>
      <c r="I265" s="3" t="str">
        <f t="shared" ca="1" si="2"/>
        <v>'Campbell University',</v>
      </c>
    </row>
    <row r="266" spans="1:9">
      <c r="A266" s="1" t="s">
        <v>264</v>
      </c>
      <c r="B266" s="3" t="str">
        <f ca="1">IFERROR(__xludf.DUMMYFUNCTION("SPLIT(A266,"","")"),"US")</f>
        <v>US</v>
      </c>
      <c r="C266" s="3" t="str">
        <f ca="1">IFERROR(__xludf.DUMMYFUNCTION("""COMPUTED_VALUE"""),"Canisius College")</f>
        <v>Canisius College</v>
      </c>
      <c r="D266" s="4" t="str">
        <f ca="1">IFERROR(__xludf.DUMMYFUNCTION("""COMPUTED_VALUE"""),"http://www.canisius.edu/")</f>
        <v>http://www.canisius.edu/</v>
      </c>
      <c r="G266" s="2" t="str">
        <f t="shared" ca="1" si="0"/>
        <v>Canisius College</v>
      </c>
      <c r="H266" s="5" t="str">
        <f t="shared" ca="1" si="1"/>
        <v>Canisius College</v>
      </c>
      <c r="I266" s="3" t="str">
        <f t="shared" ca="1" si="2"/>
        <v>'Canisius College',</v>
      </c>
    </row>
    <row r="267" spans="1:9">
      <c r="A267" s="1" t="s">
        <v>265</v>
      </c>
      <c r="B267" s="3" t="str">
        <f ca="1">IFERROR(__xludf.DUMMYFUNCTION("SPLIT(A267,"","")"),"US")</f>
        <v>US</v>
      </c>
      <c r="C267" s="3" t="str">
        <f ca="1">IFERROR(__xludf.DUMMYFUNCTION("""COMPUTED_VALUE"""),"Capella University")</f>
        <v>Capella University</v>
      </c>
      <c r="D267" s="4" t="str">
        <f ca="1">IFERROR(__xludf.DUMMYFUNCTION("""COMPUTED_VALUE"""),"http://www.capella.edu/")</f>
        <v>http://www.capella.edu/</v>
      </c>
      <c r="G267" s="2" t="str">
        <f t="shared" ca="1" si="0"/>
        <v>Capella University</v>
      </c>
      <c r="H267" s="5" t="str">
        <f t="shared" ca="1" si="1"/>
        <v>Capella University</v>
      </c>
      <c r="I267" s="3" t="str">
        <f t="shared" ca="1" si="2"/>
        <v>'Capella University',</v>
      </c>
    </row>
    <row r="268" spans="1:9">
      <c r="A268" s="1" t="s">
        <v>266</v>
      </c>
      <c r="B268" s="3" t="str">
        <f ca="1">IFERROR(__xludf.DUMMYFUNCTION("SPLIT(A268,"","")"),"US")</f>
        <v>US</v>
      </c>
      <c r="C268" s="3" t="str">
        <f ca="1">IFERROR(__xludf.DUMMYFUNCTION("""COMPUTED_VALUE"""),"Capital University")</f>
        <v>Capital University</v>
      </c>
      <c r="D268" s="4" t="str">
        <f ca="1">IFERROR(__xludf.DUMMYFUNCTION("""COMPUTED_VALUE"""),"http://www.capital.edu/")</f>
        <v>http://www.capital.edu/</v>
      </c>
      <c r="G268" s="2" t="str">
        <f t="shared" ca="1" si="0"/>
        <v>Capital University</v>
      </c>
      <c r="H268" s="5" t="str">
        <f t="shared" ca="1" si="1"/>
        <v>Capital University</v>
      </c>
      <c r="I268" s="3" t="str">
        <f t="shared" ca="1" si="2"/>
        <v>'Capital University',</v>
      </c>
    </row>
    <row r="269" spans="1:9">
      <c r="A269" s="1" t="s">
        <v>267</v>
      </c>
      <c r="B269" s="3" t="str">
        <f ca="1">IFERROR(__xludf.DUMMYFUNCTION("SPLIT(A269,"","")"),"US")</f>
        <v>US</v>
      </c>
      <c r="C269" s="3" t="str">
        <f ca="1">IFERROR(__xludf.DUMMYFUNCTION("""COMPUTED_VALUE"""),"Capital University Law School")</f>
        <v>Capital University Law School</v>
      </c>
      <c r="D269" s="4" t="str">
        <f ca="1">IFERROR(__xludf.DUMMYFUNCTION("""COMPUTED_VALUE"""),"http://www.law.capital.edu/")</f>
        <v>http://www.law.capital.edu/</v>
      </c>
      <c r="G269" s="2" t="str">
        <f t="shared" ca="1" si="0"/>
        <v>Capital University Law School</v>
      </c>
      <c r="H269" s="5" t="str">
        <f t="shared" ca="1" si="1"/>
        <v>Capital University Law School</v>
      </c>
      <c r="I269" s="3" t="str">
        <f t="shared" ca="1" si="2"/>
        <v>'Capital University Law School',</v>
      </c>
    </row>
    <row r="270" spans="1:9">
      <c r="A270" s="1" t="s">
        <v>268</v>
      </c>
      <c r="B270" s="3" t="str">
        <f ca="1">IFERROR(__xludf.DUMMYFUNCTION("SPLIT(A270,"","")"),"US")</f>
        <v>US</v>
      </c>
      <c r="C270" s="3" t="str">
        <f ca="1">IFERROR(__xludf.DUMMYFUNCTION("""COMPUTED_VALUE"""),"Capitol College")</f>
        <v>Capitol College</v>
      </c>
      <c r="D270" s="4" t="str">
        <f ca="1">IFERROR(__xludf.DUMMYFUNCTION("""COMPUTED_VALUE"""),"http://www.capitol-college.edu/")</f>
        <v>http://www.capitol-college.edu/</v>
      </c>
      <c r="G270" s="2" t="str">
        <f t="shared" ca="1" si="0"/>
        <v>Capitol College</v>
      </c>
      <c r="H270" s="5" t="str">
        <f t="shared" ca="1" si="1"/>
        <v>Capitol College</v>
      </c>
      <c r="I270" s="3" t="str">
        <f t="shared" ca="1" si="2"/>
        <v>'Capitol College',</v>
      </c>
    </row>
    <row r="271" spans="1:9">
      <c r="A271" s="1" t="s">
        <v>269</v>
      </c>
      <c r="B271" s="3" t="str">
        <f ca="1">IFERROR(__xludf.DUMMYFUNCTION("SPLIT(A271,"","")"),"US")</f>
        <v>US</v>
      </c>
      <c r="C271" s="3" t="str">
        <f ca="1">IFERROR(__xludf.DUMMYFUNCTION("""COMPUTED_VALUE"""),"Cardinal Stritch University")</f>
        <v>Cardinal Stritch University</v>
      </c>
      <c r="D271" s="4" t="str">
        <f ca="1">IFERROR(__xludf.DUMMYFUNCTION("""COMPUTED_VALUE"""),"http://www.stritch.edu/")</f>
        <v>http://www.stritch.edu/</v>
      </c>
      <c r="G271" s="2" t="str">
        <f t="shared" ca="1" si="0"/>
        <v>Cardinal Stritch University</v>
      </c>
      <c r="H271" s="5" t="str">
        <f t="shared" ca="1" si="1"/>
        <v>Cardinal Stritch University</v>
      </c>
      <c r="I271" s="3" t="str">
        <f t="shared" ca="1" si="2"/>
        <v>'Cardinal Stritch University',</v>
      </c>
    </row>
    <row r="272" spans="1:9">
      <c r="A272" s="1" t="s">
        <v>270</v>
      </c>
      <c r="B272" s="3" t="str">
        <f ca="1">IFERROR(__xludf.DUMMYFUNCTION("SPLIT(A272,"","")"),"US")</f>
        <v>US</v>
      </c>
      <c r="C272" s="3" t="str">
        <f ca="1">IFERROR(__xludf.DUMMYFUNCTION("""COMPUTED_VALUE"""),"Carleton College")</f>
        <v>Carleton College</v>
      </c>
      <c r="D272" s="4" t="str">
        <f ca="1">IFERROR(__xludf.DUMMYFUNCTION("""COMPUTED_VALUE"""),"http://www.carleton.edu/")</f>
        <v>http://www.carleton.edu/</v>
      </c>
      <c r="G272" s="2" t="str">
        <f t="shared" ca="1" si="0"/>
        <v>Carleton College</v>
      </c>
      <c r="H272" s="5" t="str">
        <f t="shared" ca="1" si="1"/>
        <v>Carleton College</v>
      </c>
      <c r="I272" s="3" t="str">
        <f t="shared" ca="1" si="2"/>
        <v>'Carleton College',</v>
      </c>
    </row>
    <row r="273" spans="1:9">
      <c r="A273" s="1" t="s">
        <v>271</v>
      </c>
      <c r="B273" s="3" t="str">
        <f ca="1">IFERROR(__xludf.DUMMYFUNCTION("SPLIT(A273,"","")"),"US")</f>
        <v>US</v>
      </c>
      <c r="C273" s="3" t="str">
        <f ca="1">IFERROR(__xludf.DUMMYFUNCTION("""COMPUTED_VALUE"""),"Carlos Albizu University")</f>
        <v>Carlos Albizu University</v>
      </c>
      <c r="D273" s="4" t="str">
        <f ca="1">IFERROR(__xludf.DUMMYFUNCTION("""COMPUTED_VALUE"""),"http://www.albizu.edu/")</f>
        <v>http://www.albizu.edu/</v>
      </c>
      <c r="G273" s="2" t="str">
        <f t="shared" ca="1" si="0"/>
        <v>Carlos Albizu University</v>
      </c>
      <c r="H273" s="5" t="str">
        <f t="shared" ca="1" si="1"/>
        <v>Carlos Albizu University</v>
      </c>
      <c r="I273" s="3" t="str">
        <f t="shared" ca="1" si="2"/>
        <v>'Carlos Albizu University',</v>
      </c>
    </row>
    <row r="274" spans="1:9">
      <c r="A274" s="1" t="s">
        <v>272</v>
      </c>
      <c r="B274" s="3" t="str">
        <f ca="1">IFERROR(__xludf.DUMMYFUNCTION("SPLIT(A274,"","")"),"US")</f>
        <v>US</v>
      </c>
      <c r="C274" s="3" t="str">
        <f ca="1">IFERROR(__xludf.DUMMYFUNCTION("""COMPUTED_VALUE"""),"Carlow College")</f>
        <v>Carlow College</v>
      </c>
      <c r="D274" s="4" t="str">
        <f ca="1">IFERROR(__xludf.DUMMYFUNCTION("""COMPUTED_VALUE"""),"http://www.carlow.edu/")</f>
        <v>http://www.carlow.edu/</v>
      </c>
      <c r="G274" s="2" t="str">
        <f t="shared" ca="1" si="0"/>
        <v>Carlow College</v>
      </c>
      <c r="H274" s="5" t="str">
        <f t="shared" ca="1" si="1"/>
        <v>Carlow College</v>
      </c>
      <c r="I274" s="3" t="str">
        <f t="shared" ca="1" si="2"/>
        <v>'Carlow College',</v>
      </c>
    </row>
    <row r="275" spans="1:9">
      <c r="A275" s="1" t="s">
        <v>273</v>
      </c>
      <c r="B275" s="3" t="str">
        <f ca="1">IFERROR(__xludf.DUMMYFUNCTION("SPLIT(A275,"","")"),"US")</f>
        <v>US</v>
      </c>
      <c r="C275" s="3" t="str">
        <f ca="1">IFERROR(__xludf.DUMMYFUNCTION("""COMPUTED_VALUE"""),"Carnegie Mellon University")</f>
        <v>Carnegie Mellon University</v>
      </c>
      <c r="D275" s="4" t="str">
        <f ca="1">IFERROR(__xludf.DUMMYFUNCTION("""COMPUTED_VALUE"""),"http://www.cmu.edu/")</f>
        <v>http://www.cmu.edu/</v>
      </c>
      <c r="G275" s="2" t="str">
        <f t="shared" ca="1" si="0"/>
        <v>Carnegie Mellon University</v>
      </c>
      <c r="H275" s="5" t="str">
        <f t="shared" ca="1" si="1"/>
        <v>Carnegie Mellon University</v>
      </c>
      <c r="I275" s="3" t="str">
        <f t="shared" ca="1" si="2"/>
        <v>'Carnegie Mellon University',</v>
      </c>
    </row>
    <row r="276" spans="1:9">
      <c r="A276" s="1" t="s">
        <v>274</v>
      </c>
      <c r="B276" s="3" t="str">
        <f ca="1">IFERROR(__xludf.DUMMYFUNCTION("SPLIT(A276,"","")"),"US")</f>
        <v>US</v>
      </c>
      <c r="C276" s="3" t="str">
        <f ca="1">IFERROR(__xludf.DUMMYFUNCTION("""COMPUTED_VALUE"""),"Carroll College Helena")</f>
        <v>Carroll College Helena</v>
      </c>
      <c r="D276" s="4" t="str">
        <f ca="1">IFERROR(__xludf.DUMMYFUNCTION("""COMPUTED_VALUE"""),"http://www.carroll.edu/")</f>
        <v>http://www.carroll.edu/</v>
      </c>
      <c r="G276" s="2" t="str">
        <f t="shared" ca="1" si="0"/>
        <v>Carroll College Helena</v>
      </c>
      <c r="H276" s="5" t="str">
        <f t="shared" ca="1" si="1"/>
        <v>Carroll College Helena</v>
      </c>
      <c r="I276" s="3" t="str">
        <f t="shared" ca="1" si="2"/>
        <v>'Carroll College Helena',</v>
      </c>
    </row>
    <row r="277" spans="1:9">
      <c r="A277" s="1" t="s">
        <v>275</v>
      </c>
      <c r="B277" s="3" t="str">
        <f ca="1">IFERROR(__xludf.DUMMYFUNCTION("SPLIT(A277,"","")"),"US")</f>
        <v>US</v>
      </c>
      <c r="C277" s="3" t="str">
        <f ca="1">IFERROR(__xludf.DUMMYFUNCTION("""COMPUTED_VALUE"""),"Carroll College Waukesha")</f>
        <v>Carroll College Waukesha</v>
      </c>
      <c r="D277" s="4" t="str">
        <f ca="1">IFERROR(__xludf.DUMMYFUNCTION("""COMPUTED_VALUE"""),"http://www.cc.edu/")</f>
        <v>http://www.cc.edu/</v>
      </c>
      <c r="G277" s="2" t="str">
        <f t="shared" ca="1" si="0"/>
        <v>Carroll College Waukesha</v>
      </c>
      <c r="H277" s="5" t="str">
        <f t="shared" ca="1" si="1"/>
        <v>Carroll College Waukesha</v>
      </c>
      <c r="I277" s="3" t="str">
        <f t="shared" ca="1" si="2"/>
        <v>'Carroll College Waukesha',</v>
      </c>
    </row>
    <row r="278" spans="1:9">
      <c r="A278" s="1" t="s">
        <v>276</v>
      </c>
      <c r="B278" s="3" t="str">
        <f ca="1">IFERROR(__xludf.DUMMYFUNCTION("SPLIT(A278,"","")"),"US")</f>
        <v>US</v>
      </c>
      <c r="C278" s="3" t="str">
        <f ca="1">IFERROR(__xludf.DUMMYFUNCTION("""COMPUTED_VALUE"""),"Carson-Newman College")</f>
        <v>Carson-Newman College</v>
      </c>
      <c r="D278" s="4" t="str">
        <f ca="1">IFERROR(__xludf.DUMMYFUNCTION("""COMPUTED_VALUE"""),"http://www.cn.edu/")</f>
        <v>http://www.cn.edu/</v>
      </c>
      <c r="G278" s="2" t="str">
        <f t="shared" ca="1" si="0"/>
        <v>Carson-Newman College</v>
      </c>
      <c r="H278" s="5" t="str">
        <f t="shared" ca="1" si="1"/>
        <v>Carson-Newman College</v>
      </c>
      <c r="I278" s="3" t="str">
        <f t="shared" ca="1" si="2"/>
        <v>'Carson-Newman College',</v>
      </c>
    </row>
    <row r="279" spans="1:9">
      <c r="A279" s="1" t="s">
        <v>277</v>
      </c>
      <c r="B279" s="3" t="str">
        <f ca="1">IFERROR(__xludf.DUMMYFUNCTION("SPLIT(A279,"","")"),"US")</f>
        <v>US</v>
      </c>
      <c r="C279" s="3" t="str">
        <f ca="1">IFERROR(__xludf.DUMMYFUNCTION("""COMPUTED_VALUE"""),"Carthage College")</f>
        <v>Carthage College</v>
      </c>
      <c r="D279" s="4" t="str">
        <f ca="1">IFERROR(__xludf.DUMMYFUNCTION("""COMPUTED_VALUE"""),"http://www.carthage.edu/")</f>
        <v>http://www.carthage.edu/</v>
      </c>
      <c r="G279" s="2" t="str">
        <f t="shared" ca="1" si="0"/>
        <v>Carthage College</v>
      </c>
      <c r="H279" s="5" t="str">
        <f t="shared" ca="1" si="1"/>
        <v>Carthage College</v>
      </c>
      <c r="I279" s="3" t="str">
        <f t="shared" ca="1" si="2"/>
        <v>'Carthage College',</v>
      </c>
    </row>
    <row r="280" spans="1:9">
      <c r="A280" s="1" t="s">
        <v>278</v>
      </c>
      <c r="B280" s="3" t="str">
        <f ca="1">IFERROR(__xludf.DUMMYFUNCTION("SPLIT(A280,"","")"),"US")</f>
        <v>US</v>
      </c>
      <c r="C280" s="3" t="str">
        <f ca="1">IFERROR(__xludf.DUMMYFUNCTION("""COMPUTED_VALUE"""),"Case Western Reserve University")</f>
        <v>Case Western Reserve University</v>
      </c>
      <c r="D280" s="4" t="str">
        <f ca="1">IFERROR(__xludf.DUMMYFUNCTION("""COMPUTED_VALUE"""),"http://www.cwru.edu/")</f>
        <v>http://www.cwru.edu/</v>
      </c>
      <c r="G280" s="2" t="str">
        <f t="shared" ca="1" si="0"/>
        <v>Case Western Reserve University</v>
      </c>
      <c r="H280" s="5" t="str">
        <f t="shared" ca="1" si="1"/>
        <v>Case Western Reserve University</v>
      </c>
      <c r="I280" s="3" t="str">
        <f t="shared" ca="1" si="2"/>
        <v>'Case Western Reserve University',</v>
      </c>
    </row>
    <row r="281" spans="1:9">
      <c r="A281" s="1" t="s">
        <v>279</v>
      </c>
      <c r="B281" s="3" t="str">
        <f ca="1">IFERROR(__xludf.DUMMYFUNCTION("SPLIT(A281,"","")"),"US")</f>
        <v>US</v>
      </c>
      <c r="C281" s="3" t="str">
        <f ca="1">IFERROR(__xludf.DUMMYFUNCTION("""COMPUTED_VALUE"""),"Castleton State College")</f>
        <v>Castleton State College</v>
      </c>
      <c r="D281" s="4" t="str">
        <f ca="1">IFERROR(__xludf.DUMMYFUNCTION("""COMPUTED_VALUE"""),"http://www.csc.vsc.edu/")</f>
        <v>http://www.csc.vsc.edu/</v>
      </c>
      <c r="G281" s="2" t="str">
        <f t="shared" ca="1" si="0"/>
        <v>Castleton State College</v>
      </c>
      <c r="H281" s="5" t="str">
        <f t="shared" ca="1" si="1"/>
        <v>Castleton State College</v>
      </c>
      <c r="I281" s="3" t="str">
        <f t="shared" ca="1" si="2"/>
        <v>'Castleton State College',</v>
      </c>
    </row>
    <row r="282" spans="1:9">
      <c r="A282" s="1" t="s">
        <v>280</v>
      </c>
      <c r="B282" s="3" t="str">
        <f ca="1">IFERROR(__xludf.DUMMYFUNCTION("SPLIT(A282,"","")"),"US")</f>
        <v>US</v>
      </c>
      <c r="C282" s="3" t="str">
        <f ca="1">IFERROR(__xludf.DUMMYFUNCTION("""COMPUTED_VALUE"""),"Catawba College")</f>
        <v>Catawba College</v>
      </c>
      <c r="D282" s="4" t="str">
        <f ca="1">IFERROR(__xludf.DUMMYFUNCTION("""COMPUTED_VALUE"""),"http://www.catawba.edu/")</f>
        <v>http://www.catawba.edu/</v>
      </c>
      <c r="G282" s="2" t="str">
        <f t="shared" ca="1" si="0"/>
        <v>Catawba College</v>
      </c>
      <c r="H282" s="5" t="str">
        <f t="shared" ca="1" si="1"/>
        <v>Catawba College</v>
      </c>
      <c r="I282" s="3" t="str">
        <f t="shared" ca="1" si="2"/>
        <v>'Catawba College',</v>
      </c>
    </row>
    <row r="283" spans="1:9">
      <c r="A283" s="1" t="s">
        <v>281</v>
      </c>
      <c r="B283" s="3" t="str">
        <f ca="1">IFERROR(__xludf.DUMMYFUNCTION("SPLIT(A283,"","")"),"US")</f>
        <v>US</v>
      </c>
      <c r="C283" s="3" t="str">
        <f ca="1">IFERROR(__xludf.DUMMYFUNCTION("""COMPUTED_VALUE"""),"Catholic Theological Union")</f>
        <v>Catholic Theological Union</v>
      </c>
      <c r="D283" s="4" t="str">
        <f ca="1">IFERROR(__xludf.DUMMYFUNCTION("""COMPUTED_VALUE"""),"http://www.ctu.edu/")</f>
        <v>http://www.ctu.edu/</v>
      </c>
      <c r="G283" s="2" t="str">
        <f t="shared" ca="1" si="0"/>
        <v>Catholic Theological Union</v>
      </c>
      <c r="H283" s="5" t="str">
        <f t="shared" ca="1" si="1"/>
        <v>Catholic Theological Union</v>
      </c>
      <c r="I283" s="3" t="str">
        <f t="shared" ca="1" si="2"/>
        <v>'Catholic Theological Union',</v>
      </c>
    </row>
    <row r="284" spans="1:9">
      <c r="A284" s="1" t="s">
        <v>282</v>
      </c>
      <c r="B284" s="3" t="str">
        <f ca="1">IFERROR(__xludf.DUMMYFUNCTION("SPLIT(A284,"","")"),"US")</f>
        <v>US</v>
      </c>
      <c r="C284" s="3" t="str">
        <f ca="1">IFERROR(__xludf.DUMMYFUNCTION("""COMPUTED_VALUE"""),"Cedar Crest College")</f>
        <v>Cedar Crest College</v>
      </c>
      <c r="D284" s="4" t="str">
        <f ca="1">IFERROR(__xludf.DUMMYFUNCTION("""COMPUTED_VALUE"""),"http://www.cedarcrest.edu/")</f>
        <v>http://www.cedarcrest.edu/</v>
      </c>
      <c r="G284" s="2" t="str">
        <f t="shared" ca="1" si="0"/>
        <v>Cedar Crest College</v>
      </c>
      <c r="H284" s="5" t="str">
        <f t="shared" ca="1" si="1"/>
        <v>Cedar Crest College</v>
      </c>
      <c r="I284" s="3" t="str">
        <f t="shared" ca="1" si="2"/>
        <v>'Cedar Crest College',</v>
      </c>
    </row>
    <row r="285" spans="1:9">
      <c r="A285" s="1" t="s">
        <v>283</v>
      </c>
      <c r="B285" s="3" t="str">
        <f ca="1">IFERROR(__xludf.DUMMYFUNCTION("SPLIT(A285,"","")"),"US")</f>
        <v>US</v>
      </c>
      <c r="C285" s="3" t="str">
        <f ca="1">IFERROR(__xludf.DUMMYFUNCTION("""COMPUTED_VALUE"""),"Cedarville College")</f>
        <v>Cedarville College</v>
      </c>
      <c r="D285" s="4" t="str">
        <f ca="1">IFERROR(__xludf.DUMMYFUNCTION("""COMPUTED_VALUE"""),"http://www.cedarville.edu/")</f>
        <v>http://www.cedarville.edu/</v>
      </c>
      <c r="G285" s="2" t="str">
        <f t="shared" ca="1" si="0"/>
        <v>Cedarville College</v>
      </c>
      <c r="H285" s="5" t="str">
        <f t="shared" ca="1" si="1"/>
        <v>Cedarville College</v>
      </c>
      <c r="I285" s="3" t="str">
        <f t="shared" ca="1" si="2"/>
        <v>'Cedarville College',</v>
      </c>
    </row>
    <row r="286" spans="1:9">
      <c r="A286" s="1" t="s">
        <v>284</v>
      </c>
      <c r="B286" s="3" t="str">
        <f ca="1">IFERROR(__xludf.DUMMYFUNCTION("SPLIT(A286,"","")"),"US")</f>
        <v>US</v>
      </c>
      <c r="C286" s="3" t="str">
        <f ca="1">IFERROR(__xludf.DUMMYFUNCTION("""COMPUTED_VALUE"""),"Centenary College")</f>
        <v>Centenary College</v>
      </c>
      <c r="D286" s="4" t="str">
        <f ca="1">IFERROR(__xludf.DUMMYFUNCTION("""COMPUTED_VALUE"""),"http://www.centenarycollege.edu/")</f>
        <v>http://www.centenarycollege.edu/</v>
      </c>
      <c r="G286" s="2" t="str">
        <f t="shared" ca="1" si="0"/>
        <v>Centenary College</v>
      </c>
      <c r="H286" s="5" t="str">
        <f t="shared" ca="1" si="1"/>
        <v>Centenary College</v>
      </c>
      <c r="I286" s="3" t="str">
        <f t="shared" ca="1" si="2"/>
        <v>'Centenary College',</v>
      </c>
    </row>
    <row r="287" spans="1:9">
      <c r="A287" s="1" t="s">
        <v>285</v>
      </c>
      <c r="B287" s="3" t="str">
        <f ca="1">IFERROR(__xludf.DUMMYFUNCTION("SPLIT(A287,"","")"),"US")</f>
        <v>US</v>
      </c>
      <c r="C287" s="3" t="str">
        <f ca="1">IFERROR(__xludf.DUMMYFUNCTION("""COMPUTED_VALUE"""),"Centenary College of Louisiana")</f>
        <v>Centenary College of Louisiana</v>
      </c>
      <c r="D287" s="4" t="str">
        <f ca="1">IFERROR(__xludf.DUMMYFUNCTION("""COMPUTED_VALUE"""),"http://www.centenary.edu/")</f>
        <v>http://www.centenary.edu/</v>
      </c>
      <c r="G287" s="2" t="str">
        <f t="shared" ca="1" si="0"/>
        <v>Centenary College of Louisiana</v>
      </c>
      <c r="H287" s="5" t="str">
        <f t="shared" ca="1" si="1"/>
        <v>Centenary College of Louisiana</v>
      </c>
      <c r="I287" s="3" t="str">
        <f t="shared" ca="1" si="2"/>
        <v>'Centenary College of Louisiana',</v>
      </c>
    </row>
    <row r="288" spans="1:9">
      <c r="A288" s="1" t="s">
        <v>286</v>
      </c>
      <c r="B288" s="3" t="str">
        <f ca="1">IFERROR(__xludf.DUMMYFUNCTION("SPLIT(A288,"","")"),"US")</f>
        <v>US</v>
      </c>
      <c r="C288" s="3" t="str">
        <f ca="1">IFERROR(__xludf.DUMMYFUNCTION("""COMPUTED_VALUE"""),"Center for Humanistic Studies")</f>
        <v>Center for Humanistic Studies</v>
      </c>
      <c r="D288" s="4" t="str">
        <f ca="1">IFERROR(__xludf.DUMMYFUNCTION("""COMPUTED_VALUE"""),"http://www.humanpsych.edu/")</f>
        <v>http://www.humanpsych.edu/</v>
      </c>
      <c r="G288" s="2" t="str">
        <f t="shared" ca="1" si="0"/>
        <v>Center for Humanistic Studies</v>
      </c>
      <c r="H288" s="5" t="str">
        <f t="shared" ca="1" si="1"/>
        <v>Center for Humanistic Studies</v>
      </c>
      <c r="I288" s="3" t="str">
        <f t="shared" ca="1" si="2"/>
        <v>'Center for Humanistic Studies',</v>
      </c>
    </row>
    <row r="289" spans="1:9">
      <c r="A289" s="1" t="s">
        <v>287</v>
      </c>
      <c r="B289" s="3" t="str">
        <f ca="1">IFERROR(__xludf.DUMMYFUNCTION("SPLIT(A289,"","")"),"US")</f>
        <v>US</v>
      </c>
      <c r="C289" s="3" t="str">
        <f ca="1">IFERROR(__xludf.DUMMYFUNCTION("""COMPUTED_VALUE"""),"Central Baptist College")</f>
        <v>Central Baptist College</v>
      </c>
      <c r="D289" s="4" t="str">
        <f ca="1">IFERROR(__xludf.DUMMYFUNCTION("""COMPUTED_VALUE"""),"http://www.cbc.edu/")</f>
        <v>http://www.cbc.edu/</v>
      </c>
      <c r="G289" s="2" t="str">
        <f t="shared" ca="1" si="0"/>
        <v>Central Baptist College</v>
      </c>
      <c r="H289" s="5" t="str">
        <f t="shared" ca="1" si="1"/>
        <v>Central Baptist College</v>
      </c>
      <c r="I289" s="3" t="str">
        <f t="shared" ca="1" si="2"/>
        <v>'Central Baptist College',</v>
      </c>
    </row>
    <row r="290" spans="1:9">
      <c r="A290" s="1" t="s">
        <v>288</v>
      </c>
      <c r="B290" s="3" t="str">
        <f ca="1">IFERROR(__xludf.DUMMYFUNCTION("SPLIT(A290,"","")"),"US")</f>
        <v>US</v>
      </c>
      <c r="C290" s="3" t="str">
        <f ca="1">IFERROR(__xludf.DUMMYFUNCTION("""COMPUTED_VALUE"""),"Central Bible College")</f>
        <v>Central Bible College</v>
      </c>
      <c r="D290" s="4" t="str">
        <f ca="1">IFERROR(__xludf.DUMMYFUNCTION("""COMPUTED_VALUE"""),"http://www.cbcag.edu/")</f>
        <v>http://www.cbcag.edu/</v>
      </c>
      <c r="G290" s="2" t="str">
        <f t="shared" ca="1" si="0"/>
        <v>Central Bible College</v>
      </c>
      <c r="H290" s="5" t="str">
        <f t="shared" ca="1" si="1"/>
        <v>Central Bible College</v>
      </c>
      <c r="I290" s="3" t="str">
        <f t="shared" ca="1" si="2"/>
        <v>'Central Bible College',</v>
      </c>
    </row>
    <row r="291" spans="1:9">
      <c r="A291" s="1" t="s">
        <v>289</v>
      </c>
      <c r="B291" s="3" t="str">
        <f ca="1">IFERROR(__xludf.DUMMYFUNCTION("SPLIT(A291,"","")"),"US")</f>
        <v>US</v>
      </c>
      <c r="C291" s="3" t="str">
        <f ca="1">IFERROR(__xludf.DUMMYFUNCTION("""COMPUTED_VALUE"""),"Central Christian College of the Bible")</f>
        <v>Central Christian College of the Bible</v>
      </c>
      <c r="D291" s="4" t="str">
        <f ca="1">IFERROR(__xludf.DUMMYFUNCTION("""COMPUTED_VALUE"""),"http://www.cccb.edu/")</f>
        <v>http://www.cccb.edu/</v>
      </c>
      <c r="G291" s="2" t="str">
        <f t="shared" ca="1" si="0"/>
        <v>Central Christian College of the Bible</v>
      </c>
      <c r="H291" s="5" t="str">
        <f t="shared" ca="1" si="1"/>
        <v>Central Christian College of the Bible</v>
      </c>
      <c r="I291" s="3" t="str">
        <f t="shared" ca="1" si="2"/>
        <v>'Central Christian College of the Bible',</v>
      </c>
    </row>
    <row r="292" spans="1:9">
      <c r="A292" s="1" t="s">
        <v>290</v>
      </c>
      <c r="B292" s="3" t="str">
        <f ca="1">IFERROR(__xludf.DUMMYFUNCTION("SPLIT(A292,"","")"),"US")</f>
        <v>US</v>
      </c>
      <c r="C292" s="3" t="str">
        <f ca="1">IFERROR(__xludf.DUMMYFUNCTION("""COMPUTED_VALUE"""),"Central College")</f>
        <v>Central College</v>
      </c>
      <c r="D292" s="4" t="str">
        <f ca="1">IFERROR(__xludf.DUMMYFUNCTION("""COMPUTED_VALUE"""),"http://www.central.edu/")</f>
        <v>http://www.central.edu/</v>
      </c>
      <c r="G292" s="2" t="str">
        <f t="shared" ca="1" si="0"/>
        <v>Central College</v>
      </c>
      <c r="H292" s="5" t="str">
        <f t="shared" ca="1" si="1"/>
        <v>Central College</v>
      </c>
      <c r="I292" s="3" t="str">
        <f t="shared" ca="1" si="2"/>
        <v>'Central College',</v>
      </c>
    </row>
    <row r="293" spans="1:9">
      <c r="A293" s="1" t="s">
        <v>291</v>
      </c>
      <c r="B293" s="3" t="str">
        <f ca="1">IFERROR(__xludf.DUMMYFUNCTION("SPLIT(A293,"","")"),"US")</f>
        <v>US</v>
      </c>
      <c r="C293" s="3" t="str">
        <f ca="1">IFERROR(__xludf.DUMMYFUNCTION("""COMPUTED_VALUE"""),"Central Connecticut State University")</f>
        <v>Central Connecticut State University</v>
      </c>
      <c r="D293" s="4" t="str">
        <f ca="1">IFERROR(__xludf.DUMMYFUNCTION("""COMPUTED_VALUE"""),"http://www.ccsu.edu/")</f>
        <v>http://www.ccsu.edu/</v>
      </c>
      <c r="G293" s="2" t="str">
        <f t="shared" ca="1" si="0"/>
        <v>Central Connecticut State University</v>
      </c>
      <c r="H293" s="5" t="str">
        <f t="shared" ca="1" si="1"/>
        <v>Central Connecticut State University</v>
      </c>
      <c r="I293" s="3" t="str">
        <f t="shared" ca="1" si="2"/>
        <v>'Central Connecticut State University',</v>
      </c>
    </row>
    <row r="294" spans="1:9">
      <c r="A294" s="1" t="s">
        <v>292</v>
      </c>
      <c r="B294" s="3" t="str">
        <f ca="1">IFERROR(__xludf.DUMMYFUNCTION("SPLIT(A294,"","")"),"US")</f>
        <v>US</v>
      </c>
      <c r="C294" s="3" t="str">
        <f ca="1">IFERROR(__xludf.DUMMYFUNCTION("""COMPUTED_VALUE"""),"Central Methodist College")</f>
        <v>Central Methodist College</v>
      </c>
      <c r="D294" s="4" t="str">
        <f ca="1">IFERROR(__xludf.DUMMYFUNCTION("""COMPUTED_VALUE"""),"http://www.cmc.edu/")</f>
        <v>http://www.cmc.edu/</v>
      </c>
      <c r="G294" s="2" t="str">
        <f t="shared" ca="1" si="0"/>
        <v>Central Methodist College</v>
      </c>
      <c r="H294" s="5" t="str">
        <f t="shared" ca="1" si="1"/>
        <v>Central Methodist College</v>
      </c>
      <c r="I294" s="3" t="str">
        <f t="shared" ca="1" si="2"/>
        <v>'Central Methodist College',</v>
      </c>
    </row>
    <row r="295" spans="1:9">
      <c r="A295" s="1" t="s">
        <v>293</v>
      </c>
      <c r="B295" s="3" t="str">
        <f ca="1">IFERROR(__xludf.DUMMYFUNCTION("SPLIT(A295,"","")"),"US")</f>
        <v>US</v>
      </c>
      <c r="C295" s="3" t="str">
        <f ca="1">IFERROR(__xludf.DUMMYFUNCTION("""COMPUTED_VALUE"""),"Central Michigan University")</f>
        <v>Central Michigan University</v>
      </c>
      <c r="D295" s="4" t="str">
        <f ca="1">IFERROR(__xludf.DUMMYFUNCTION("""COMPUTED_VALUE"""),"http://www.cmich.edu/")</f>
        <v>http://www.cmich.edu/</v>
      </c>
      <c r="G295" s="2" t="str">
        <f t="shared" ca="1" si="0"/>
        <v>Central Michigan University</v>
      </c>
      <c r="H295" s="5" t="str">
        <f t="shared" ca="1" si="1"/>
        <v>Central Michigan University</v>
      </c>
      <c r="I295" s="3" t="str">
        <f t="shared" ca="1" si="2"/>
        <v>'Central Michigan University',</v>
      </c>
    </row>
    <row r="296" spans="1:9">
      <c r="A296" s="1" t="s">
        <v>294</v>
      </c>
      <c r="B296" s="3" t="str">
        <f ca="1">IFERROR(__xludf.DUMMYFUNCTION("SPLIT(A296,"","")"),"US")</f>
        <v>US</v>
      </c>
      <c r="C296" s="3" t="str">
        <f ca="1">IFERROR(__xludf.DUMMYFUNCTION("""COMPUTED_VALUE"""),"Central State University")</f>
        <v>Central State University</v>
      </c>
      <c r="D296" s="4" t="str">
        <f ca="1">IFERROR(__xludf.DUMMYFUNCTION("""COMPUTED_VALUE"""),"http://www.centralstate.edu/")</f>
        <v>http://www.centralstate.edu/</v>
      </c>
      <c r="G296" s="2" t="str">
        <f t="shared" ca="1" si="0"/>
        <v>Central State University</v>
      </c>
      <c r="H296" s="5" t="str">
        <f t="shared" ca="1" si="1"/>
        <v>Central State University</v>
      </c>
      <c r="I296" s="3" t="str">
        <f t="shared" ca="1" si="2"/>
        <v>'Central State University',</v>
      </c>
    </row>
    <row r="297" spans="1:9">
      <c r="A297" s="1" t="s">
        <v>295</v>
      </c>
      <c r="B297" s="3" t="str">
        <f ca="1">IFERROR(__xludf.DUMMYFUNCTION("SPLIT(A297,"","")"),"US")</f>
        <v>US</v>
      </c>
      <c r="C297" s="3" t="str">
        <f ca="1">IFERROR(__xludf.DUMMYFUNCTION("""COMPUTED_VALUE"""),"Central Washington University")</f>
        <v>Central Washington University</v>
      </c>
      <c r="D297" s="4" t="str">
        <f ca="1">IFERROR(__xludf.DUMMYFUNCTION("""COMPUTED_VALUE"""),"http://www.cwu.edu/")</f>
        <v>http://www.cwu.edu/</v>
      </c>
      <c r="G297" s="2" t="str">
        <f t="shared" ca="1" si="0"/>
        <v>Central Washington University</v>
      </c>
      <c r="H297" s="5" t="str">
        <f t="shared" ca="1" si="1"/>
        <v>Central Washington University</v>
      </c>
      <c r="I297" s="3" t="str">
        <f t="shared" ca="1" si="2"/>
        <v>'Central Washington University',</v>
      </c>
    </row>
    <row r="298" spans="1:9">
      <c r="A298" s="1" t="s">
        <v>296</v>
      </c>
      <c r="B298" s="3" t="str">
        <f ca="1">IFERROR(__xludf.DUMMYFUNCTION("SPLIT(A298,"","")"),"US")</f>
        <v>US</v>
      </c>
      <c r="C298" s="3" t="str">
        <f ca="1">IFERROR(__xludf.DUMMYFUNCTION("""COMPUTED_VALUE"""),"Centre College")</f>
        <v>Centre College</v>
      </c>
      <c r="D298" s="4" t="str">
        <f ca="1">IFERROR(__xludf.DUMMYFUNCTION("""COMPUTED_VALUE"""),"http://www.centre.edu/")</f>
        <v>http://www.centre.edu/</v>
      </c>
      <c r="G298" s="2" t="str">
        <f t="shared" ca="1" si="0"/>
        <v>Centre College</v>
      </c>
      <c r="H298" s="5" t="str">
        <f t="shared" ca="1" si="1"/>
        <v>Centre College</v>
      </c>
      <c r="I298" s="3" t="str">
        <f t="shared" ca="1" si="2"/>
        <v>'Centre College',</v>
      </c>
    </row>
    <row r="299" spans="1:9">
      <c r="A299" s="1" t="s">
        <v>297</v>
      </c>
      <c r="B299" s="3" t="str">
        <f ca="1">IFERROR(__xludf.DUMMYFUNCTION("SPLIT(A299,"","")"),"US")</f>
        <v>US</v>
      </c>
      <c r="C299" s="3" t="str">
        <f ca="1">IFERROR(__xludf.DUMMYFUNCTION("""COMPUTED_VALUE"""),"Chadron State College")</f>
        <v>Chadron State College</v>
      </c>
      <c r="D299" s="4" t="str">
        <f ca="1">IFERROR(__xludf.DUMMYFUNCTION("""COMPUTED_VALUE"""),"http://www.csc.edu/")</f>
        <v>http://www.csc.edu/</v>
      </c>
      <c r="G299" s="2" t="str">
        <f t="shared" ca="1" si="0"/>
        <v>Chadron State College</v>
      </c>
      <c r="H299" s="5" t="str">
        <f t="shared" ca="1" si="1"/>
        <v>Chadron State College</v>
      </c>
      <c r="I299" s="3" t="str">
        <f t="shared" ca="1" si="2"/>
        <v>'Chadron State College',</v>
      </c>
    </row>
    <row r="300" spans="1:9">
      <c r="A300" s="1" t="s">
        <v>298</v>
      </c>
      <c r="B300" s="3" t="str">
        <f ca="1">IFERROR(__xludf.DUMMYFUNCTION("SPLIT(A300,"","")"),"US")</f>
        <v>US</v>
      </c>
      <c r="C300" s="3" t="str">
        <f ca="1">IFERROR(__xludf.DUMMYFUNCTION("""COMPUTED_VALUE"""),"Chaminade University of Honolulu")</f>
        <v>Chaminade University of Honolulu</v>
      </c>
      <c r="D300" s="4" t="str">
        <f ca="1">IFERROR(__xludf.DUMMYFUNCTION("""COMPUTED_VALUE"""),"http://www.chaminade.edu/")</f>
        <v>http://www.chaminade.edu/</v>
      </c>
      <c r="G300" s="2" t="str">
        <f t="shared" ca="1" si="0"/>
        <v>Chaminade University of Honolulu</v>
      </c>
      <c r="H300" s="5" t="str">
        <f t="shared" ca="1" si="1"/>
        <v>Chaminade University of Honolulu</v>
      </c>
      <c r="I300" s="3" t="str">
        <f t="shared" ca="1" si="2"/>
        <v>'Chaminade University of Honolulu',</v>
      </c>
    </row>
    <row r="301" spans="1:9">
      <c r="A301" s="1" t="s">
        <v>299</v>
      </c>
      <c r="B301" s="3" t="str">
        <f ca="1">IFERROR(__xludf.DUMMYFUNCTION("SPLIT(A301,"","")"),"US")</f>
        <v>US</v>
      </c>
      <c r="C301" s="3" t="str">
        <f ca="1">IFERROR(__xludf.DUMMYFUNCTION("""COMPUTED_VALUE"""),"Champlain College")</f>
        <v>Champlain College</v>
      </c>
      <c r="D301" s="4" t="str">
        <f ca="1">IFERROR(__xludf.DUMMYFUNCTION("""COMPUTED_VALUE"""),"http://www.champlain.edu/")</f>
        <v>http://www.champlain.edu/</v>
      </c>
      <c r="G301" s="2" t="str">
        <f t="shared" ca="1" si="0"/>
        <v>Champlain College</v>
      </c>
      <c r="H301" s="5" t="str">
        <f t="shared" ca="1" si="1"/>
        <v>Champlain College</v>
      </c>
      <c r="I301" s="3" t="str">
        <f t="shared" ca="1" si="2"/>
        <v>'Champlain College',</v>
      </c>
    </row>
    <row r="302" spans="1:9">
      <c r="A302" s="1" t="s">
        <v>300</v>
      </c>
      <c r="B302" s="3" t="str">
        <f ca="1">IFERROR(__xludf.DUMMYFUNCTION("SPLIT(A302,"","")"),"US")</f>
        <v>US</v>
      </c>
      <c r="C302" s="3" t="str">
        <f ca="1">IFERROR(__xludf.DUMMYFUNCTION("""COMPUTED_VALUE"""),"Chapman University")</f>
        <v>Chapman University</v>
      </c>
      <c r="D302" s="4" t="str">
        <f ca="1">IFERROR(__xludf.DUMMYFUNCTION("""COMPUTED_VALUE"""),"http://www.chapman.edu/")</f>
        <v>http://www.chapman.edu/</v>
      </c>
      <c r="G302" s="2" t="str">
        <f t="shared" ca="1" si="0"/>
        <v>Chapman University</v>
      </c>
      <c r="H302" s="5" t="str">
        <f t="shared" ca="1" si="1"/>
        <v>Chapman University</v>
      </c>
      <c r="I302" s="3" t="str">
        <f t="shared" ca="1" si="2"/>
        <v>'Chapman University',</v>
      </c>
    </row>
    <row r="303" spans="1:9">
      <c r="A303" s="1" t="s">
        <v>301</v>
      </c>
      <c r="B303" s="3" t="str">
        <f ca="1">IFERROR(__xludf.DUMMYFUNCTION("SPLIT(A303,"","")"),"US")</f>
        <v>US</v>
      </c>
      <c r="C303" s="3" t="str">
        <f ca="1">IFERROR(__xludf.DUMMYFUNCTION("""COMPUTED_VALUE"""),"Charles R. Drew University of Medicine and Science")</f>
        <v>Charles R. Drew University of Medicine and Science</v>
      </c>
      <c r="D303" s="4" t="str">
        <f ca="1">IFERROR(__xludf.DUMMYFUNCTION("""COMPUTED_VALUE"""),"http://www.cdrewu.edu/")</f>
        <v>http://www.cdrewu.edu/</v>
      </c>
      <c r="G303" s="2" t="str">
        <f t="shared" ca="1" si="0"/>
        <v>Charles R. Drew University of Medicine and Science</v>
      </c>
      <c r="H303" s="5" t="str">
        <f t="shared" ca="1" si="1"/>
        <v>Charles R. Drew University of Medicine and Science</v>
      </c>
      <c r="I303" s="3" t="str">
        <f t="shared" ca="1" si="2"/>
        <v>'Charles R. Drew University of Medicine and Science',</v>
      </c>
    </row>
    <row r="304" spans="1:9">
      <c r="A304" s="1" t="s">
        <v>302</v>
      </c>
      <c r="B304" s="3" t="str">
        <f ca="1">IFERROR(__xludf.DUMMYFUNCTION("SPLIT(A304,"","")"),"US")</f>
        <v>US</v>
      </c>
      <c r="C304" s="3" t="str">
        <f ca="1">IFERROR(__xludf.DUMMYFUNCTION("""COMPUTED_VALUE"""),"Charleston Southern University")</f>
        <v>Charleston Southern University</v>
      </c>
      <c r="D304" s="4" t="str">
        <f ca="1">IFERROR(__xludf.DUMMYFUNCTION("""COMPUTED_VALUE"""),"http://www.csuniv.edu/")</f>
        <v>http://www.csuniv.edu/</v>
      </c>
      <c r="G304" s="2" t="str">
        <f t="shared" ca="1" si="0"/>
        <v>Charleston Southern University</v>
      </c>
      <c r="H304" s="5" t="str">
        <f t="shared" ca="1" si="1"/>
        <v>Charleston Southern University</v>
      </c>
      <c r="I304" s="3" t="str">
        <f t="shared" ca="1" si="2"/>
        <v>'Charleston Southern University',</v>
      </c>
    </row>
    <row r="305" spans="1:9">
      <c r="A305" s="1" t="s">
        <v>303</v>
      </c>
      <c r="B305" s="3" t="str">
        <f ca="1">IFERROR(__xludf.DUMMYFUNCTION("SPLIT(A305,"","")"),"US")</f>
        <v>US</v>
      </c>
      <c r="C305" s="3" t="str">
        <f ca="1">IFERROR(__xludf.DUMMYFUNCTION("""COMPUTED_VALUE"""),"Charter Oak State College")</f>
        <v>Charter Oak State College</v>
      </c>
      <c r="D305" s="4" t="str">
        <f ca="1">IFERROR(__xludf.DUMMYFUNCTION("""COMPUTED_VALUE"""),"http://www.cosc.edu/")</f>
        <v>http://www.cosc.edu/</v>
      </c>
      <c r="G305" s="2" t="str">
        <f t="shared" ca="1" si="0"/>
        <v>Charter Oak State College</v>
      </c>
      <c r="H305" s="5" t="str">
        <f t="shared" ca="1" si="1"/>
        <v>Charter Oak State College</v>
      </c>
      <c r="I305" s="3" t="str">
        <f t="shared" ca="1" si="2"/>
        <v>'Charter Oak State College',</v>
      </c>
    </row>
    <row r="306" spans="1:9">
      <c r="A306" s="1" t="s">
        <v>304</v>
      </c>
      <c r="B306" s="3" t="str">
        <f ca="1">IFERROR(__xludf.DUMMYFUNCTION("SPLIT(A306,"","")"),"US")</f>
        <v>US</v>
      </c>
      <c r="C306" s="3" t="str">
        <f ca="1">IFERROR(__xludf.DUMMYFUNCTION("""COMPUTED_VALUE"""),"Chatham College")</f>
        <v>Chatham College</v>
      </c>
      <c r="D306" s="4" t="str">
        <f ca="1">IFERROR(__xludf.DUMMYFUNCTION("""COMPUTED_VALUE"""),"http://www.chatham.edu/")</f>
        <v>http://www.chatham.edu/</v>
      </c>
      <c r="G306" s="2" t="str">
        <f t="shared" ca="1" si="0"/>
        <v>Chatham College</v>
      </c>
      <c r="H306" s="5" t="str">
        <f t="shared" ca="1" si="1"/>
        <v>Chatham College</v>
      </c>
      <c r="I306" s="3" t="str">
        <f t="shared" ca="1" si="2"/>
        <v>'Chatham College',</v>
      </c>
    </row>
    <row r="307" spans="1:9">
      <c r="A307" s="1" t="s">
        <v>305</v>
      </c>
      <c r="B307" s="3" t="str">
        <f ca="1">IFERROR(__xludf.DUMMYFUNCTION("SPLIT(A307,"","")"),"US")</f>
        <v>US</v>
      </c>
      <c r="C307" s="3" t="str">
        <f ca="1">IFERROR(__xludf.DUMMYFUNCTION("""COMPUTED_VALUE"""),"Chestnut Hill College")</f>
        <v>Chestnut Hill College</v>
      </c>
      <c r="D307" s="4" t="str">
        <f ca="1">IFERROR(__xludf.DUMMYFUNCTION("""COMPUTED_VALUE"""),"http://www.chc.edu/")</f>
        <v>http://www.chc.edu/</v>
      </c>
      <c r="G307" s="2" t="str">
        <f t="shared" ca="1" si="0"/>
        <v>Chestnut Hill College</v>
      </c>
      <c r="H307" s="5" t="str">
        <f t="shared" ca="1" si="1"/>
        <v>Chestnut Hill College</v>
      </c>
      <c r="I307" s="3" t="str">
        <f t="shared" ca="1" si="2"/>
        <v>'Chestnut Hill College',</v>
      </c>
    </row>
    <row r="308" spans="1:9">
      <c r="A308" s="1" t="s">
        <v>306</v>
      </c>
      <c r="B308" s="3" t="str">
        <f ca="1">IFERROR(__xludf.DUMMYFUNCTION("SPLIT(A308,"","")"),"US")</f>
        <v>US</v>
      </c>
      <c r="C308" s="3" t="str">
        <f ca="1">IFERROR(__xludf.DUMMYFUNCTION("""COMPUTED_VALUE"""),"Cheyney University of Pennsylvania")</f>
        <v>Cheyney University of Pennsylvania</v>
      </c>
      <c r="D308" s="4" t="str">
        <f ca="1">IFERROR(__xludf.DUMMYFUNCTION("""COMPUTED_VALUE"""),"http://www.cheyney.edu/")</f>
        <v>http://www.cheyney.edu/</v>
      </c>
      <c r="G308" s="2" t="str">
        <f t="shared" ca="1" si="0"/>
        <v>Cheyney University of Pennsylvania</v>
      </c>
      <c r="H308" s="5" t="str">
        <f t="shared" ca="1" si="1"/>
        <v>Cheyney University of Pennsylvania</v>
      </c>
      <c r="I308" s="3" t="str">
        <f t="shared" ca="1" si="2"/>
        <v>'Cheyney University of Pennsylvania',</v>
      </c>
    </row>
    <row r="309" spans="1:9">
      <c r="A309" s="1" t="s">
        <v>307</v>
      </c>
      <c r="B309" s="3" t="str">
        <f ca="1">IFERROR(__xludf.DUMMYFUNCTION("SPLIT(A309,"","")"),"US")</f>
        <v>US</v>
      </c>
      <c r="C309" s="3" t="str">
        <f ca="1">IFERROR(__xludf.DUMMYFUNCTION("""COMPUTED_VALUE"""),"Chicago State University")</f>
        <v>Chicago State University</v>
      </c>
      <c r="D309" s="4" t="str">
        <f ca="1">IFERROR(__xludf.DUMMYFUNCTION("""COMPUTED_VALUE"""),"http://www.csu.edu/")</f>
        <v>http://www.csu.edu/</v>
      </c>
      <c r="G309" s="2" t="str">
        <f t="shared" ca="1" si="0"/>
        <v>Chicago State University</v>
      </c>
      <c r="H309" s="5" t="str">
        <f t="shared" ca="1" si="1"/>
        <v>Chicago State University</v>
      </c>
      <c r="I309" s="3" t="str">
        <f t="shared" ca="1" si="2"/>
        <v>'Chicago State University',</v>
      </c>
    </row>
    <row r="310" spans="1:9">
      <c r="A310" s="1" t="s">
        <v>308</v>
      </c>
      <c r="B310" s="3" t="str">
        <f ca="1">IFERROR(__xludf.DUMMYFUNCTION("SPLIT(A310,"","")"),"US")</f>
        <v>US</v>
      </c>
      <c r="C310" s="3" t="str">
        <f ca="1">IFERROR(__xludf.DUMMYFUNCTION("""COMPUTED_VALUE"""),"Chowan College")</f>
        <v>Chowan College</v>
      </c>
      <c r="D310" s="4" t="str">
        <f ca="1">IFERROR(__xludf.DUMMYFUNCTION("""COMPUTED_VALUE"""),"http://www.chowan.edu/")</f>
        <v>http://www.chowan.edu/</v>
      </c>
      <c r="G310" s="2" t="str">
        <f t="shared" ca="1" si="0"/>
        <v>Chowan College</v>
      </c>
      <c r="H310" s="5" t="str">
        <f t="shared" ca="1" si="1"/>
        <v>Chowan College</v>
      </c>
      <c r="I310" s="3" t="str">
        <f t="shared" ca="1" si="2"/>
        <v>'Chowan College',</v>
      </c>
    </row>
    <row r="311" spans="1:9">
      <c r="A311" s="1" t="s">
        <v>309</v>
      </c>
      <c r="B311" s="3" t="str">
        <f ca="1">IFERROR(__xludf.DUMMYFUNCTION("SPLIT(A311,"","")"),"US")</f>
        <v>US</v>
      </c>
      <c r="C311" s="3" t="str">
        <f ca="1">IFERROR(__xludf.DUMMYFUNCTION("""COMPUTED_VALUE"""),"Christendom College")</f>
        <v>Christendom College</v>
      </c>
      <c r="D311" s="4" t="str">
        <f ca="1">IFERROR(__xludf.DUMMYFUNCTION("""COMPUTED_VALUE"""),"http://www.christendom.edu/")</f>
        <v>http://www.christendom.edu/</v>
      </c>
      <c r="G311" s="2" t="str">
        <f t="shared" ca="1" si="0"/>
        <v>Christendom College</v>
      </c>
      <c r="H311" s="5" t="str">
        <f t="shared" ca="1" si="1"/>
        <v>Christendom College</v>
      </c>
      <c r="I311" s="3" t="str">
        <f t="shared" ca="1" si="2"/>
        <v>'Christendom College',</v>
      </c>
    </row>
    <row r="312" spans="1:9">
      <c r="A312" s="1" t="s">
        <v>310</v>
      </c>
      <c r="B312" s="3" t="str">
        <f ca="1">IFERROR(__xludf.DUMMYFUNCTION("SPLIT(A312,"","")"),"US")</f>
        <v>US</v>
      </c>
      <c r="C312" s="3" t="str">
        <f ca="1">IFERROR(__xludf.DUMMYFUNCTION("""COMPUTED_VALUE"""),"Christian Brothers University")</f>
        <v>Christian Brothers University</v>
      </c>
      <c r="D312" s="4" t="str">
        <f ca="1">IFERROR(__xludf.DUMMYFUNCTION("""COMPUTED_VALUE"""),"http://www.cbu.edu/")</f>
        <v>http://www.cbu.edu/</v>
      </c>
      <c r="G312" s="2" t="str">
        <f t="shared" ca="1" si="0"/>
        <v>Christian Brothers University</v>
      </c>
      <c r="H312" s="5" t="str">
        <f t="shared" ca="1" si="1"/>
        <v>Christian Brothers University</v>
      </c>
      <c r="I312" s="3" t="str">
        <f t="shared" ca="1" si="2"/>
        <v>'Christian Brothers University',</v>
      </c>
    </row>
    <row r="313" spans="1:9">
      <c r="A313" s="1" t="s">
        <v>311</v>
      </c>
      <c r="B313" s="3" t="str">
        <f ca="1">IFERROR(__xludf.DUMMYFUNCTION("SPLIT(A313,"","")"),"US")</f>
        <v>US</v>
      </c>
      <c r="C313" s="3" t="str">
        <f ca="1">IFERROR(__xludf.DUMMYFUNCTION("""COMPUTED_VALUE"""),"Christian Heritage College")</f>
        <v>Christian Heritage College</v>
      </c>
      <c r="D313" s="4" t="str">
        <f ca="1">IFERROR(__xludf.DUMMYFUNCTION("""COMPUTED_VALUE"""),"http://www.christianheritage.edu/")</f>
        <v>http://www.christianheritage.edu/</v>
      </c>
      <c r="G313" s="2" t="str">
        <f t="shared" ca="1" si="0"/>
        <v>Christian Heritage College</v>
      </c>
      <c r="H313" s="5" t="str">
        <f t="shared" ca="1" si="1"/>
        <v>Christian Heritage College</v>
      </c>
      <c r="I313" s="3" t="str">
        <f t="shared" ca="1" si="2"/>
        <v>'Christian Heritage College',</v>
      </c>
    </row>
    <row r="314" spans="1:9">
      <c r="A314" s="1" t="s">
        <v>312</v>
      </c>
      <c r="B314" s="3" t="str">
        <f ca="1">IFERROR(__xludf.DUMMYFUNCTION("SPLIT(A314,"","")"),"US")</f>
        <v>US</v>
      </c>
      <c r="C314" s="3" t="str">
        <f ca="1">IFERROR(__xludf.DUMMYFUNCTION("""COMPUTED_VALUE"""),"Christopher Newport University")</f>
        <v>Christopher Newport University</v>
      </c>
      <c r="D314" s="4" t="str">
        <f ca="1">IFERROR(__xludf.DUMMYFUNCTION("""COMPUTED_VALUE"""),"http://www.cnu.edu/")</f>
        <v>http://www.cnu.edu/</v>
      </c>
      <c r="G314" s="2" t="str">
        <f t="shared" ca="1" si="0"/>
        <v>Christopher Newport University</v>
      </c>
      <c r="H314" s="5" t="str">
        <f t="shared" ca="1" si="1"/>
        <v>Christopher Newport University</v>
      </c>
      <c r="I314" s="3" t="str">
        <f t="shared" ca="1" si="2"/>
        <v>'Christopher Newport University',</v>
      </c>
    </row>
    <row r="315" spans="1:9">
      <c r="A315" s="1" t="s">
        <v>313</v>
      </c>
      <c r="B315" s="3" t="str">
        <f ca="1">IFERROR(__xludf.DUMMYFUNCTION("SPLIT(A315,"","")"),"US")</f>
        <v>US</v>
      </c>
      <c r="C315" s="3" t="str">
        <f ca="1">IFERROR(__xludf.DUMMYFUNCTION("""COMPUTED_VALUE"""),"Circleville Bible College")</f>
        <v>Circleville Bible College</v>
      </c>
      <c r="D315" s="4" t="str">
        <f ca="1">IFERROR(__xludf.DUMMYFUNCTION("""COMPUTED_VALUE"""),"http://www.biblecollege.edu/")</f>
        <v>http://www.biblecollege.edu/</v>
      </c>
      <c r="G315" s="2" t="str">
        <f t="shared" ca="1" si="0"/>
        <v>Circleville Bible College</v>
      </c>
      <c r="H315" s="5" t="str">
        <f t="shared" ca="1" si="1"/>
        <v>Circleville Bible College</v>
      </c>
      <c r="I315" s="3" t="str">
        <f t="shared" ca="1" si="2"/>
        <v>'Circleville Bible College',</v>
      </c>
    </row>
    <row r="316" spans="1:9">
      <c r="A316" s="1" t="s">
        <v>314</v>
      </c>
      <c r="B316" s="3" t="str">
        <f ca="1">IFERROR(__xludf.DUMMYFUNCTION("SPLIT(A316,"","")"),"US")</f>
        <v>US</v>
      </c>
      <c r="C316" s="3" t="str">
        <f ca="1">IFERROR(__xludf.DUMMYFUNCTION("""COMPUTED_VALUE"""),"City University")</f>
        <v>City University</v>
      </c>
      <c r="D316" s="4" t="str">
        <f ca="1">IFERROR(__xludf.DUMMYFUNCTION("""COMPUTED_VALUE"""),"http://www.cityu.edu/")</f>
        <v>http://www.cityu.edu/</v>
      </c>
      <c r="G316" s="2" t="str">
        <f t="shared" ca="1" si="0"/>
        <v>City University</v>
      </c>
      <c r="H316" s="5" t="str">
        <f t="shared" ca="1" si="1"/>
        <v>City University</v>
      </c>
      <c r="I316" s="3" t="str">
        <f t="shared" ca="1" si="2"/>
        <v>'City University',</v>
      </c>
    </row>
    <row r="317" spans="1:9">
      <c r="A317" s="1" t="s">
        <v>315</v>
      </c>
      <c r="B317" s="3" t="str">
        <f ca="1">IFERROR(__xludf.DUMMYFUNCTION("SPLIT(A317,"","")"),"US")</f>
        <v>US</v>
      </c>
      <c r="C317" s="3" t="str">
        <f ca="1">IFERROR(__xludf.DUMMYFUNCTION("""COMPUTED_VALUE"""),"""City University of New York")</f>
        <v>"City University of New York</v>
      </c>
      <c r="D317" s="3" t="str">
        <f ca="1">IFERROR(__xludf.DUMMYFUNCTION("""COMPUTED_VALUE""")," Bernard M. Baruch College""")</f>
        <v xml:space="preserve"> Bernard M. Baruch College"</v>
      </c>
      <c r="E317" s="4" t="str">
        <f ca="1">IFERROR(__xludf.DUMMYFUNCTION("""COMPUTED_VALUE"""),"http://www.baruch.cuny.edu/")</f>
        <v>http://www.baruch.cuny.edu/</v>
      </c>
      <c r="G317" s="2" t="str">
        <f t="shared" ca="1" si="0"/>
        <v>"City University of New York</v>
      </c>
      <c r="H317" s="5" t="str">
        <f t="shared" ca="1" si="1"/>
        <v>City University of New York</v>
      </c>
      <c r="I317" s="3" t="str">
        <f t="shared" ca="1" si="2"/>
        <v>'City University of New York',</v>
      </c>
    </row>
    <row r="318" spans="1:9">
      <c r="A318" s="1" t="s">
        <v>316</v>
      </c>
      <c r="B318" s="3" t="str">
        <f ca="1">IFERROR(__xludf.DUMMYFUNCTION("SPLIT(A318,"","")"),"US")</f>
        <v>US</v>
      </c>
      <c r="C318" s="3" t="str">
        <f ca="1">IFERROR(__xludf.DUMMYFUNCTION("""COMPUTED_VALUE"""),"""City University of New York")</f>
        <v>"City University of New York</v>
      </c>
      <c r="D318" s="3" t="str">
        <f ca="1">IFERROR(__xludf.DUMMYFUNCTION("""COMPUTED_VALUE""")," Brooklyn College""")</f>
        <v xml:space="preserve"> Brooklyn College"</v>
      </c>
      <c r="E318" s="4" t="str">
        <f ca="1">IFERROR(__xludf.DUMMYFUNCTION("""COMPUTED_VALUE"""),"http://www.brooklyn.cuny.edu/")</f>
        <v>http://www.brooklyn.cuny.edu/</v>
      </c>
      <c r="G318" s="2" t="str">
        <f t="shared" ca="1" si="0"/>
        <v>"City University of New York</v>
      </c>
      <c r="H318" s="5" t="str">
        <f t="shared" ca="1" si="1"/>
        <v>City University of New York</v>
      </c>
      <c r="I318" s="3" t="str">
        <f t="shared" ca="1" si="2"/>
        <v>'City University of New York',</v>
      </c>
    </row>
    <row r="319" spans="1:9">
      <c r="A319" s="1" t="s">
        <v>317</v>
      </c>
      <c r="B319" s="3" t="str">
        <f ca="1">IFERROR(__xludf.DUMMYFUNCTION("SPLIT(A319,"","")"),"US")</f>
        <v>US</v>
      </c>
      <c r="C319" s="3" t="str">
        <f ca="1">IFERROR(__xludf.DUMMYFUNCTION("""COMPUTED_VALUE"""),"""City University of New York")</f>
        <v>"City University of New York</v>
      </c>
      <c r="D319" s="3" t="str">
        <f ca="1">IFERROR(__xludf.DUMMYFUNCTION("""COMPUTED_VALUE""")," City College""")</f>
        <v xml:space="preserve"> City College"</v>
      </c>
      <c r="E319" s="4" t="str">
        <f ca="1">IFERROR(__xludf.DUMMYFUNCTION("""COMPUTED_VALUE"""),"http://www.ccny.cuny.edu/")</f>
        <v>http://www.ccny.cuny.edu/</v>
      </c>
      <c r="G319" s="2" t="str">
        <f t="shared" ca="1" si="0"/>
        <v>"City University of New York</v>
      </c>
      <c r="H319" s="5" t="str">
        <f t="shared" ca="1" si="1"/>
        <v>City University of New York</v>
      </c>
      <c r="I319" s="3" t="str">
        <f t="shared" ca="1" si="2"/>
        <v>'City University of New York',</v>
      </c>
    </row>
    <row r="320" spans="1:9">
      <c r="A320" s="1" t="s">
        <v>318</v>
      </c>
      <c r="B320" s="3" t="str">
        <f ca="1">IFERROR(__xludf.DUMMYFUNCTION("SPLIT(A320,"","")"),"US")</f>
        <v>US</v>
      </c>
      <c r="C320" s="3" t="str">
        <f ca="1">IFERROR(__xludf.DUMMYFUNCTION("""COMPUTED_VALUE"""),"""City University of New York")</f>
        <v>"City University of New York</v>
      </c>
      <c r="D320" s="3" t="str">
        <f ca="1">IFERROR(__xludf.DUMMYFUNCTION("""COMPUTED_VALUE""")," College of Staten Island""")</f>
        <v xml:space="preserve"> College of Staten Island"</v>
      </c>
      <c r="E320" s="4" t="str">
        <f ca="1">IFERROR(__xludf.DUMMYFUNCTION("""COMPUTED_VALUE"""),"http://www.csi.cuny.edu/")</f>
        <v>http://www.csi.cuny.edu/</v>
      </c>
      <c r="G320" s="2" t="str">
        <f t="shared" ca="1" si="0"/>
        <v>"City University of New York</v>
      </c>
      <c r="H320" s="5" t="str">
        <f t="shared" ca="1" si="1"/>
        <v>City University of New York</v>
      </c>
      <c r="I320" s="3" t="str">
        <f t="shared" ca="1" si="2"/>
        <v>'City University of New York',</v>
      </c>
    </row>
    <row r="321" spans="1:9">
      <c r="A321" s="1" t="s">
        <v>319</v>
      </c>
      <c r="B321" s="3" t="str">
        <f ca="1">IFERROR(__xludf.DUMMYFUNCTION("SPLIT(A321,"","")"),"US")</f>
        <v>US</v>
      </c>
      <c r="C321" s="3" t="str">
        <f ca="1">IFERROR(__xludf.DUMMYFUNCTION("""COMPUTED_VALUE"""),"City University of New York (CUNY) System")</f>
        <v>City University of New York (CUNY) System</v>
      </c>
      <c r="D321" s="4" t="str">
        <f ca="1">IFERROR(__xludf.DUMMYFUNCTION("""COMPUTED_VALUE"""),"http://www.cuny.edu/")</f>
        <v>http://www.cuny.edu/</v>
      </c>
      <c r="G321" s="2" t="str">
        <f t="shared" ca="1" si="0"/>
        <v>City University of New York (CUNY) System</v>
      </c>
      <c r="H321" s="5" t="str">
        <f t="shared" ca="1" si="1"/>
        <v>City University of New York (CUNY) System</v>
      </c>
      <c r="I321" s="3" t="str">
        <f t="shared" ca="1" si="2"/>
        <v>'City University of New York (CUNY) System',</v>
      </c>
    </row>
    <row r="322" spans="1:9">
      <c r="A322" s="1" t="s">
        <v>320</v>
      </c>
      <c r="B322" s="3" t="str">
        <f ca="1">IFERROR(__xludf.DUMMYFUNCTION("SPLIT(A322,"","")"),"US")</f>
        <v>US</v>
      </c>
      <c r="C322" s="3" t="str">
        <f ca="1">IFERROR(__xludf.DUMMYFUNCTION("""COMPUTED_VALUE"""),"""City University of New York")</f>
        <v>"City University of New York</v>
      </c>
      <c r="D322" s="3" t="str">
        <f ca="1">IFERROR(__xludf.DUMMYFUNCTION("""COMPUTED_VALUE""")," Graduate School and University Center""")</f>
        <v xml:space="preserve"> Graduate School and University Center"</v>
      </c>
      <c r="E322" s="4" t="str">
        <f ca="1">IFERROR(__xludf.DUMMYFUNCTION("""COMPUTED_VALUE"""),"http://www.gc.cuny.edu/")</f>
        <v>http://www.gc.cuny.edu/</v>
      </c>
      <c r="G322" s="2" t="str">
        <f t="shared" ca="1" si="0"/>
        <v>"City University of New York</v>
      </c>
      <c r="H322" s="5" t="str">
        <f t="shared" ca="1" si="1"/>
        <v>City University of New York</v>
      </c>
      <c r="I322" s="3" t="str">
        <f t="shared" ca="1" si="2"/>
        <v>'City University of New York',</v>
      </c>
    </row>
    <row r="323" spans="1:9">
      <c r="A323" s="1" t="s">
        <v>321</v>
      </c>
      <c r="B323" s="3" t="str">
        <f ca="1">IFERROR(__xludf.DUMMYFUNCTION("SPLIT(A323,"","")"),"US")</f>
        <v>US</v>
      </c>
      <c r="C323" s="3" t="str">
        <f ca="1">IFERROR(__xludf.DUMMYFUNCTION("""COMPUTED_VALUE"""),"""City University of New York")</f>
        <v>"City University of New York</v>
      </c>
      <c r="D323" s="3" t="str">
        <f ca="1">IFERROR(__xludf.DUMMYFUNCTION("""COMPUTED_VALUE""")," Hunter College""")</f>
        <v xml:space="preserve"> Hunter College"</v>
      </c>
      <c r="E323" s="4" t="str">
        <f ca="1">IFERROR(__xludf.DUMMYFUNCTION("""COMPUTED_VALUE"""),"http://www.hunter.cuny.edu/")</f>
        <v>http://www.hunter.cuny.edu/</v>
      </c>
      <c r="G323" s="2" t="str">
        <f t="shared" ca="1" si="0"/>
        <v>"City University of New York</v>
      </c>
      <c r="H323" s="5" t="str">
        <f t="shared" ca="1" si="1"/>
        <v>City University of New York</v>
      </c>
      <c r="I323" s="3" t="str">
        <f t="shared" ca="1" si="2"/>
        <v>'City University of New York',</v>
      </c>
    </row>
    <row r="324" spans="1:9">
      <c r="A324" s="1" t="s">
        <v>322</v>
      </c>
      <c r="B324" s="3" t="str">
        <f ca="1">IFERROR(__xludf.DUMMYFUNCTION("SPLIT(A324,"","")"),"US")</f>
        <v>US</v>
      </c>
      <c r="C324" s="3" t="str">
        <f ca="1">IFERROR(__xludf.DUMMYFUNCTION("""COMPUTED_VALUE"""),"""City University of New York")</f>
        <v>"City University of New York</v>
      </c>
      <c r="D324" s="3" t="str">
        <f ca="1">IFERROR(__xludf.DUMMYFUNCTION("""COMPUTED_VALUE""")," John Jay College of Criminal Justice""")</f>
        <v xml:space="preserve"> John Jay College of Criminal Justice"</v>
      </c>
      <c r="E324" s="4" t="str">
        <f ca="1">IFERROR(__xludf.DUMMYFUNCTION("""COMPUTED_VALUE"""),"http://www.jjay.cuny.edu/")</f>
        <v>http://www.jjay.cuny.edu/</v>
      </c>
      <c r="G324" s="2" t="str">
        <f t="shared" ca="1" si="0"/>
        <v>"City University of New York</v>
      </c>
      <c r="H324" s="5" t="str">
        <f t="shared" ca="1" si="1"/>
        <v>City University of New York</v>
      </c>
      <c r="I324" s="3" t="str">
        <f t="shared" ca="1" si="2"/>
        <v>'City University of New York',</v>
      </c>
    </row>
    <row r="325" spans="1:9">
      <c r="A325" s="1" t="s">
        <v>323</v>
      </c>
      <c r="B325" s="3" t="str">
        <f ca="1">IFERROR(__xludf.DUMMYFUNCTION("SPLIT(A325,"","")"),"US")</f>
        <v>US</v>
      </c>
      <c r="C325" s="3" t="str">
        <f ca="1">IFERROR(__xludf.DUMMYFUNCTION("""COMPUTED_VALUE"""),"""City University of New York")</f>
        <v>"City University of New York</v>
      </c>
      <c r="D325" s="3" t="str">
        <f ca="1">IFERROR(__xludf.DUMMYFUNCTION("""COMPUTED_VALUE""")," Lehman College""")</f>
        <v xml:space="preserve"> Lehman College"</v>
      </c>
      <c r="E325" s="4" t="str">
        <f ca="1">IFERROR(__xludf.DUMMYFUNCTION("""COMPUTED_VALUE"""),"http://www.lehman.cuny.edu/")</f>
        <v>http://www.lehman.cuny.edu/</v>
      </c>
      <c r="G325" s="2" t="str">
        <f t="shared" ca="1" si="0"/>
        <v>"City University of New York</v>
      </c>
      <c r="H325" s="5" t="str">
        <f t="shared" ca="1" si="1"/>
        <v>City University of New York</v>
      </c>
      <c r="I325" s="3" t="str">
        <f t="shared" ca="1" si="2"/>
        <v>'City University of New York',</v>
      </c>
    </row>
    <row r="326" spans="1:9">
      <c r="A326" s="1" t="s">
        <v>324</v>
      </c>
      <c r="B326" s="3" t="str">
        <f ca="1">IFERROR(__xludf.DUMMYFUNCTION("SPLIT(A326,"","")"),"US")</f>
        <v>US</v>
      </c>
      <c r="C326" s="3" t="str">
        <f ca="1">IFERROR(__xludf.DUMMYFUNCTION("""COMPUTED_VALUE"""),"""City University of New York")</f>
        <v>"City University of New York</v>
      </c>
      <c r="D326" s="3" t="str">
        <f ca="1">IFERROR(__xludf.DUMMYFUNCTION("""COMPUTED_VALUE""")," Medgar Evers College""")</f>
        <v xml:space="preserve"> Medgar Evers College"</v>
      </c>
      <c r="E326" s="4" t="str">
        <f ca="1">IFERROR(__xludf.DUMMYFUNCTION("""COMPUTED_VALUE"""),"http://www.mec.cuny.edu/")</f>
        <v>http://www.mec.cuny.edu/</v>
      </c>
      <c r="G326" s="2" t="str">
        <f t="shared" ca="1" si="0"/>
        <v>"City University of New York</v>
      </c>
      <c r="H326" s="5" t="str">
        <f t="shared" ca="1" si="1"/>
        <v>City University of New York</v>
      </c>
      <c r="I326" s="3" t="str">
        <f t="shared" ca="1" si="2"/>
        <v>'City University of New York',</v>
      </c>
    </row>
    <row r="327" spans="1:9">
      <c r="A327" s="1" t="s">
        <v>325</v>
      </c>
      <c r="B327" s="3" t="str">
        <f ca="1">IFERROR(__xludf.DUMMYFUNCTION("SPLIT(A327,"","")"),"US")</f>
        <v>US</v>
      </c>
      <c r="C327" s="3" t="str">
        <f ca="1">IFERROR(__xludf.DUMMYFUNCTION("""COMPUTED_VALUE"""),"City University of New York Medical School / Sophie Davis School of Biomedical Education")</f>
        <v>City University of New York Medical School / Sophie Davis School of Biomedical Education</v>
      </c>
      <c r="D327" s="4" t="str">
        <f ca="1">IFERROR(__xludf.DUMMYFUNCTION("""COMPUTED_VALUE"""),"http://med.cuny.edu/")</f>
        <v>http://med.cuny.edu/</v>
      </c>
      <c r="G327" s="2" t="str">
        <f t="shared" ca="1" si="0"/>
        <v>City University of New York Medical School / Sophie Davis School of Biomedical Education</v>
      </c>
      <c r="H327" s="5" t="str">
        <f t="shared" ca="1" si="1"/>
        <v>City University of New York Medical School / Sophie Davis School of Biomedical Education</v>
      </c>
      <c r="I327" s="3" t="str">
        <f t="shared" ca="1" si="2"/>
        <v>'City University of New York Medical School / Sophie Davis School of Biomedical Education',</v>
      </c>
    </row>
    <row r="328" spans="1:9">
      <c r="A328" s="1" t="s">
        <v>326</v>
      </c>
      <c r="B328" s="3" t="str">
        <f ca="1">IFERROR(__xludf.DUMMYFUNCTION("SPLIT(A328,"","")"),"US")</f>
        <v>US</v>
      </c>
      <c r="C328" s="3" t="str">
        <f ca="1">IFERROR(__xludf.DUMMYFUNCTION("""COMPUTED_VALUE"""),"""City University of New York")</f>
        <v>"City University of New York</v>
      </c>
      <c r="D328" s="3" t="str">
        <f ca="1">IFERROR(__xludf.DUMMYFUNCTION("""COMPUTED_VALUE""")," New York City Technical College""")</f>
        <v xml:space="preserve"> New York City Technical College"</v>
      </c>
      <c r="E328" s="4" t="str">
        <f ca="1">IFERROR(__xludf.DUMMYFUNCTION("""COMPUTED_VALUE"""),"http://www.nyctc.cuny.edu/")</f>
        <v>http://www.nyctc.cuny.edu/</v>
      </c>
      <c r="G328" s="2" t="str">
        <f t="shared" ca="1" si="0"/>
        <v>"City University of New York</v>
      </c>
      <c r="H328" s="5" t="str">
        <f t="shared" ca="1" si="1"/>
        <v>City University of New York</v>
      </c>
      <c r="I328" s="3" t="str">
        <f t="shared" ca="1" si="2"/>
        <v>'City University of New York',</v>
      </c>
    </row>
    <row r="329" spans="1:9">
      <c r="A329" s="1" t="s">
        <v>327</v>
      </c>
      <c r="B329" s="3" t="str">
        <f ca="1">IFERROR(__xludf.DUMMYFUNCTION("SPLIT(A329,"","")"),"US")</f>
        <v>US</v>
      </c>
      <c r="C329" s="3" t="str">
        <f ca="1">IFERROR(__xludf.DUMMYFUNCTION("""COMPUTED_VALUE"""),"""City University of New York")</f>
        <v>"City University of New York</v>
      </c>
      <c r="D329" s="3" t="str">
        <f ca="1">IFERROR(__xludf.DUMMYFUNCTION("""COMPUTED_VALUE""")," Queens College""")</f>
        <v xml:space="preserve"> Queens College"</v>
      </c>
      <c r="E329" s="4" t="str">
        <f ca="1">IFERROR(__xludf.DUMMYFUNCTION("""COMPUTED_VALUE"""),"http://www.qc.edu/")</f>
        <v>http://www.qc.edu/</v>
      </c>
      <c r="G329" s="2" t="str">
        <f t="shared" ca="1" si="0"/>
        <v>"City University of New York</v>
      </c>
      <c r="H329" s="5" t="str">
        <f t="shared" ca="1" si="1"/>
        <v>City University of New York</v>
      </c>
      <c r="I329" s="3" t="str">
        <f t="shared" ca="1" si="2"/>
        <v>'City University of New York',</v>
      </c>
    </row>
    <row r="330" spans="1:9">
      <c r="A330" s="1" t="s">
        <v>328</v>
      </c>
      <c r="B330" s="3" t="str">
        <f ca="1">IFERROR(__xludf.DUMMYFUNCTION("SPLIT(A330,"","")"),"US")</f>
        <v>US</v>
      </c>
      <c r="C330" s="3" t="str">
        <f ca="1">IFERROR(__xludf.DUMMYFUNCTION("""COMPUTED_VALUE"""),"""City University of New York")</f>
        <v>"City University of New York</v>
      </c>
      <c r="D330" s="3" t="str">
        <f ca="1">IFERROR(__xludf.DUMMYFUNCTION("""COMPUTED_VALUE""")," School of Law at Queens College""")</f>
        <v xml:space="preserve"> School of Law at Queens College"</v>
      </c>
      <c r="E330" s="4" t="str">
        <f ca="1">IFERROR(__xludf.DUMMYFUNCTION("""COMPUTED_VALUE"""),"http://www.law.cuny.edu/")</f>
        <v>http://www.law.cuny.edu/</v>
      </c>
      <c r="G330" s="2" t="str">
        <f t="shared" ca="1" si="0"/>
        <v>"City University of New York</v>
      </c>
      <c r="H330" s="5" t="str">
        <f t="shared" ca="1" si="1"/>
        <v>City University of New York</v>
      </c>
      <c r="I330" s="3" t="str">
        <f t="shared" ca="1" si="2"/>
        <v>'City University of New York',</v>
      </c>
    </row>
    <row r="331" spans="1:9">
      <c r="A331" s="1" t="s">
        <v>329</v>
      </c>
      <c r="B331" s="3" t="str">
        <f ca="1">IFERROR(__xludf.DUMMYFUNCTION("SPLIT(A331,"","")"),"US")</f>
        <v>US</v>
      </c>
      <c r="C331" s="3" t="str">
        <f ca="1">IFERROR(__xludf.DUMMYFUNCTION("""COMPUTED_VALUE"""),"""City University of New York")</f>
        <v>"City University of New York</v>
      </c>
      <c r="D331" s="3" t="str">
        <f ca="1">IFERROR(__xludf.DUMMYFUNCTION("""COMPUTED_VALUE""")," York College""")</f>
        <v xml:space="preserve"> York College"</v>
      </c>
      <c r="E331" s="4" t="str">
        <f ca="1">IFERROR(__xludf.DUMMYFUNCTION("""COMPUTED_VALUE"""),"http://www.york.cuny.edu/")</f>
        <v>http://www.york.cuny.edu/</v>
      </c>
      <c r="G331" s="2" t="str">
        <f t="shared" ca="1" si="0"/>
        <v>"City University of New York</v>
      </c>
      <c r="H331" s="5" t="str">
        <f t="shared" ca="1" si="1"/>
        <v>City University of New York</v>
      </c>
      <c r="I331" s="3" t="str">
        <f t="shared" ca="1" si="2"/>
        <v>'City University of New York',</v>
      </c>
    </row>
    <row r="332" spans="1:9">
      <c r="A332" s="1" t="s">
        <v>330</v>
      </c>
      <c r="B332" s="3" t="str">
        <f ca="1">IFERROR(__xludf.DUMMYFUNCTION("SPLIT(A332,"","")"),"US")</f>
        <v>US</v>
      </c>
      <c r="C332" s="3" t="str">
        <f ca="1">IFERROR(__xludf.DUMMYFUNCTION("""COMPUTED_VALUE"""),"Claflin College")</f>
        <v>Claflin College</v>
      </c>
      <c r="D332" s="4" t="str">
        <f ca="1">IFERROR(__xludf.DUMMYFUNCTION("""COMPUTED_VALUE"""),"http://www.scicu.org/claflin/")</f>
        <v>http://www.scicu.org/claflin/</v>
      </c>
      <c r="G332" s="2" t="str">
        <f t="shared" ca="1" si="0"/>
        <v>Claflin College</v>
      </c>
      <c r="H332" s="5" t="str">
        <f t="shared" ca="1" si="1"/>
        <v>Claflin College</v>
      </c>
      <c r="I332" s="3" t="str">
        <f t="shared" ca="1" si="2"/>
        <v>'Claflin College',</v>
      </c>
    </row>
    <row r="333" spans="1:9">
      <c r="A333" s="1" t="s">
        <v>331</v>
      </c>
      <c r="B333" s="3" t="str">
        <f ca="1">IFERROR(__xludf.DUMMYFUNCTION("SPLIT(A333,"","")"),"US")</f>
        <v>US</v>
      </c>
      <c r="C333" s="3" t="str">
        <f ca="1">IFERROR(__xludf.DUMMYFUNCTION("""COMPUTED_VALUE"""),"Claremont Graduate University")</f>
        <v>Claremont Graduate University</v>
      </c>
      <c r="D333" s="4" t="str">
        <f ca="1">IFERROR(__xludf.DUMMYFUNCTION("""COMPUTED_VALUE"""),"http://www.cgu.edu/")</f>
        <v>http://www.cgu.edu/</v>
      </c>
      <c r="G333" s="2" t="str">
        <f t="shared" ca="1" si="0"/>
        <v>Claremont Graduate University</v>
      </c>
      <c r="H333" s="5" t="str">
        <f t="shared" ca="1" si="1"/>
        <v>Claremont Graduate University</v>
      </c>
      <c r="I333" s="3" t="str">
        <f t="shared" ca="1" si="2"/>
        <v>'Claremont Graduate University',</v>
      </c>
    </row>
    <row r="334" spans="1:9">
      <c r="A334" s="1" t="s">
        <v>332</v>
      </c>
      <c r="B334" s="3" t="str">
        <f ca="1">IFERROR(__xludf.DUMMYFUNCTION("SPLIT(A334,"","")"),"US")</f>
        <v>US</v>
      </c>
      <c r="C334" s="3" t="str">
        <f ca="1">IFERROR(__xludf.DUMMYFUNCTION("""COMPUTED_VALUE"""),"Claremont Lincoln University")</f>
        <v>Claremont Lincoln University</v>
      </c>
      <c r="D334" s="4" t="str">
        <f ca="1">IFERROR(__xludf.DUMMYFUNCTION("""COMPUTED_VALUE"""),"http://www.claremontlincoln.org/")</f>
        <v>http://www.claremontlincoln.org/</v>
      </c>
      <c r="G334" s="2" t="str">
        <f t="shared" ca="1" si="0"/>
        <v>Claremont Lincoln University</v>
      </c>
      <c r="H334" s="5" t="str">
        <f t="shared" ca="1" si="1"/>
        <v>Claremont Lincoln University</v>
      </c>
      <c r="I334" s="3" t="str">
        <f t="shared" ca="1" si="2"/>
        <v>'Claremont Lincoln University',</v>
      </c>
    </row>
    <row r="335" spans="1:9">
      <c r="A335" s="1" t="s">
        <v>333</v>
      </c>
      <c r="B335" s="3" t="str">
        <f ca="1">IFERROR(__xludf.DUMMYFUNCTION("SPLIT(A335,"","")"),"US")</f>
        <v>US</v>
      </c>
      <c r="C335" s="3" t="str">
        <f ca="1">IFERROR(__xludf.DUMMYFUNCTION("""COMPUTED_VALUE"""),"Claremont McKenna College")</f>
        <v>Claremont McKenna College</v>
      </c>
      <c r="D335" s="4" t="str">
        <f ca="1">IFERROR(__xludf.DUMMYFUNCTION("""COMPUTED_VALUE"""),"http://www.mckenna.edu/")</f>
        <v>http://www.mckenna.edu/</v>
      </c>
      <c r="G335" s="2" t="str">
        <f t="shared" ca="1" si="0"/>
        <v>Claremont McKenna College</v>
      </c>
      <c r="H335" s="5" t="str">
        <f t="shared" ca="1" si="1"/>
        <v>Claremont McKenna College</v>
      </c>
      <c r="I335" s="3" t="str">
        <f t="shared" ca="1" si="2"/>
        <v>'Claremont McKenna College',</v>
      </c>
    </row>
    <row r="336" spans="1:9">
      <c r="A336" s="1" t="s">
        <v>334</v>
      </c>
      <c r="B336" s="3" t="str">
        <f ca="1">IFERROR(__xludf.DUMMYFUNCTION("SPLIT(A336,"","")"),"US")</f>
        <v>US</v>
      </c>
      <c r="C336" s="3" t="str">
        <f ca="1">IFERROR(__xludf.DUMMYFUNCTION("""COMPUTED_VALUE"""),"Clarion University")</f>
        <v>Clarion University</v>
      </c>
      <c r="D336" s="4" t="str">
        <f ca="1">IFERROR(__xludf.DUMMYFUNCTION("""COMPUTED_VALUE"""),"http://www.clarion.edu/")</f>
        <v>http://www.clarion.edu/</v>
      </c>
      <c r="G336" s="2" t="str">
        <f t="shared" ca="1" si="0"/>
        <v>Clarion University</v>
      </c>
      <c r="H336" s="5" t="str">
        <f t="shared" ca="1" si="1"/>
        <v>Clarion University</v>
      </c>
      <c r="I336" s="3" t="str">
        <f t="shared" ca="1" si="2"/>
        <v>'Clarion University',</v>
      </c>
    </row>
    <row r="337" spans="1:9">
      <c r="A337" s="1" t="s">
        <v>335</v>
      </c>
      <c r="B337" s="3" t="str">
        <f ca="1">IFERROR(__xludf.DUMMYFUNCTION("SPLIT(A337,"","")"),"US")</f>
        <v>US</v>
      </c>
      <c r="C337" s="3" t="str">
        <f ca="1">IFERROR(__xludf.DUMMYFUNCTION("""COMPUTED_VALUE"""),"Clark Atlanta University")</f>
        <v>Clark Atlanta University</v>
      </c>
      <c r="D337" s="4" t="str">
        <f ca="1">IFERROR(__xludf.DUMMYFUNCTION("""COMPUTED_VALUE"""),"http://www.cau.edu/")</f>
        <v>http://www.cau.edu/</v>
      </c>
      <c r="G337" s="2" t="str">
        <f t="shared" ca="1" si="0"/>
        <v>Clark Atlanta University</v>
      </c>
      <c r="H337" s="5" t="str">
        <f t="shared" ca="1" si="1"/>
        <v>Clark Atlanta University</v>
      </c>
      <c r="I337" s="3" t="str">
        <f t="shared" ca="1" si="2"/>
        <v>'Clark Atlanta University',</v>
      </c>
    </row>
    <row r="338" spans="1:9">
      <c r="A338" s="1" t="s">
        <v>336</v>
      </c>
      <c r="B338" s="3" t="str">
        <f ca="1">IFERROR(__xludf.DUMMYFUNCTION("SPLIT(A338,"","")"),"US")</f>
        <v>US</v>
      </c>
      <c r="C338" s="3" t="str">
        <f ca="1">IFERROR(__xludf.DUMMYFUNCTION("""COMPUTED_VALUE"""),"Clarke College")</f>
        <v>Clarke College</v>
      </c>
      <c r="D338" s="4" t="str">
        <f ca="1">IFERROR(__xludf.DUMMYFUNCTION("""COMPUTED_VALUE"""),"http://www.clarke.edu/")</f>
        <v>http://www.clarke.edu/</v>
      </c>
      <c r="G338" s="2" t="str">
        <f t="shared" ca="1" si="0"/>
        <v>Clarke College</v>
      </c>
      <c r="H338" s="5" t="str">
        <f t="shared" ca="1" si="1"/>
        <v>Clarke College</v>
      </c>
      <c r="I338" s="3" t="str">
        <f t="shared" ca="1" si="2"/>
        <v>'Clarke College',</v>
      </c>
    </row>
    <row r="339" spans="1:9">
      <c r="A339" s="1" t="s">
        <v>337</v>
      </c>
      <c r="B339" s="3" t="str">
        <f ca="1">IFERROR(__xludf.DUMMYFUNCTION("SPLIT(A339,"","")"),"US")</f>
        <v>US</v>
      </c>
      <c r="C339" s="3" t="str">
        <f ca="1">IFERROR(__xludf.DUMMYFUNCTION("""COMPUTED_VALUE"""),"Clarkson College")</f>
        <v>Clarkson College</v>
      </c>
      <c r="D339" s="4" t="str">
        <f ca="1">IFERROR(__xludf.DUMMYFUNCTION("""COMPUTED_VALUE"""),"http://www.clarksoncollege.edu/")</f>
        <v>http://www.clarksoncollege.edu/</v>
      </c>
      <c r="G339" s="2" t="str">
        <f t="shared" ca="1" si="0"/>
        <v>Clarkson College</v>
      </c>
      <c r="H339" s="5" t="str">
        <f t="shared" ca="1" si="1"/>
        <v>Clarkson College</v>
      </c>
      <c r="I339" s="3" t="str">
        <f t="shared" ca="1" si="2"/>
        <v>'Clarkson College',</v>
      </c>
    </row>
    <row r="340" spans="1:9">
      <c r="A340" s="1" t="s">
        <v>338</v>
      </c>
      <c r="B340" s="3" t="str">
        <f ca="1">IFERROR(__xludf.DUMMYFUNCTION("SPLIT(A340,"","")"),"US")</f>
        <v>US</v>
      </c>
      <c r="C340" s="3" t="str">
        <f ca="1">IFERROR(__xludf.DUMMYFUNCTION("""COMPUTED_VALUE"""),"Clarkson University")</f>
        <v>Clarkson University</v>
      </c>
      <c r="D340" s="4" t="str">
        <f ca="1">IFERROR(__xludf.DUMMYFUNCTION("""COMPUTED_VALUE"""),"http://www.clarkson.edu/")</f>
        <v>http://www.clarkson.edu/</v>
      </c>
      <c r="G340" s="2" t="str">
        <f t="shared" ca="1" si="0"/>
        <v>Clarkson University</v>
      </c>
      <c r="H340" s="5" t="str">
        <f t="shared" ca="1" si="1"/>
        <v>Clarkson University</v>
      </c>
      <c r="I340" s="3" t="str">
        <f t="shared" ca="1" si="2"/>
        <v>'Clarkson University',</v>
      </c>
    </row>
    <row r="341" spans="1:9">
      <c r="A341" s="1" t="s">
        <v>339</v>
      </c>
      <c r="B341" s="3" t="str">
        <f ca="1">IFERROR(__xludf.DUMMYFUNCTION("SPLIT(A341,"","")"),"US")</f>
        <v>US</v>
      </c>
      <c r="C341" s="3" t="str">
        <f ca="1">IFERROR(__xludf.DUMMYFUNCTION("""COMPUTED_VALUE"""),"Clark University")</f>
        <v>Clark University</v>
      </c>
      <c r="D341" s="4" t="str">
        <f ca="1">IFERROR(__xludf.DUMMYFUNCTION("""COMPUTED_VALUE"""),"http://www.clarku.edu/")</f>
        <v>http://www.clarku.edu/</v>
      </c>
      <c r="G341" s="2" t="str">
        <f t="shared" ca="1" si="0"/>
        <v>Clark University</v>
      </c>
      <c r="H341" s="5" t="str">
        <f t="shared" ca="1" si="1"/>
        <v>Clark University</v>
      </c>
      <c r="I341" s="3" t="str">
        <f t="shared" ca="1" si="2"/>
        <v>'Clark University',</v>
      </c>
    </row>
    <row r="342" spans="1:9">
      <c r="A342" s="1" t="s">
        <v>340</v>
      </c>
      <c r="B342" s="3" t="str">
        <f ca="1">IFERROR(__xludf.DUMMYFUNCTION("SPLIT(A342,"","")"),"US")</f>
        <v>US</v>
      </c>
      <c r="C342" s="3" t="str">
        <f ca="1">IFERROR(__xludf.DUMMYFUNCTION("""COMPUTED_VALUE"""),"Clayton College &amp; State University")</f>
        <v>Clayton College &amp; State University</v>
      </c>
      <c r="D342" s="4" t="str">
        <f ca="1">IFERROR(__xludf.DUMMYFUNCTION("""COMPUTED_VALUE"""),"http://www.clayton.edu/")</f>
        <v>http://www.clayton.edu/</v>
      </c>
      <c r="G342" s="2" t="str">
        <f t="shared" ca="1" si="0"/>
        <v>Clayton College &amp; State University</v>
      </c>
      <c r="H342" s="5" t="str">
        <f t="shared" ca="1" si="1"/>
        <v>Clayton College &amp; State University</v>
      </c>
      <c r="I342" s="3" t="str">
        <f t="shared" ca="1" si="2"/>
        <v>'Clayton College &amp; State University',</v>
      </c>
    </row>
    <row r="343" spans="1:9">
      <c r="A343" s="1" t="s">
        <v>341</v>
      </c>
      <c r="B343" s="3" t="str">
        <f ca="1">IFERROR(__xludf.DUMMYFUNCTION("SPLIT(A343,"","")"),"US")</f>
        <v>US</v>
      </c>
      <c r="C343" s="3" t="str">
        <f ca="1">IFERROR(__xludf.DUMMYFUNCTION("""COMPUTED_VALUE"""),"Clearwater Christian College")</f>
        <v>Clearwater Christian College</v>
      </c>
      <c r="D343" s="4" t="str">
        <f ca="1">IFERROR(__xludf.DUMMYFUNCTION("""COMPUTED_VALUE"""),"http://www.clearwater.edu/")</f>
        <v>http://www.clearwater.edu/</v>
      </c>
      <c r="G343" s="2" t="str">
        <f t="shared" ca="1" si="0"/>
        <v>Clearwater Christian College</v>
      </c>
      <c r="H343" s="5" t="str">
        <f t="shared" ca="1" si="1"/>
        <v>Clearwater Christian College</v>
      </c>
      <c r="I343" s="3" t="str">
        <f t="shared" ca="1" si="2"/>
        <v>'Clearwater Christian College',</v>
      </c>
    </row>
    <row r="344" spans="1:9">
      <c r="A344" s="1" t="s">
        <v>342</v>
      </c>
      <c r="B344" s="3" t="str">
        <f ca="1">IFERROR(__xludf.DUMMYFUNCTION("SPLIT(A344,"","")"),"US")</f>
        <v>US</v>
      </c>
      <c r="C344" s="3" t="str">
        <f ca="1">IFERROR(__xludf.DUMMYFUNCTION("""COMPUTED_VALUE"""),"Cleary College")</f>
        <v>Cleary College</v>
      </c>
      <c r="D344" s="4" t="str">
        <f ca="1">IFERROR(__xludf.DUMMYFUNCTION("""COMPUTED_VALUE"""),"http://www.cleary.edu/")</f>
        <v>http://www.cleary.edu/</v>
      </c>
      <c r="G344" s="2" t="str">
        <f t="shared" ca="1" si="0"/>
        <v>Cleary College</v>
      </c>
      <c r="H344" s="5" t="str">
        <f t="shared" ca="1" si="1"/>
        <v>Cleary College</v>
      </c>
      <c r="I344" s="3" t="str">
        <f t="shared" ca="1" si="2"/>
        <v>'Cleary College',</v>
      </c>
    </row>
    <row r="345" spans="1:9">
      <c r="A345" s="1" t="s">
        <v>343</v>
      </c>
      <c r="B345" s="3" t="str">
        <f ca="1">IFERROR(__xludf.DUMMYFUNCTION("SPLIT(A345,"","")"),"US")</f>
        <v>US</v>
      </c>
      <c r="C345" s="3" t="str">
        <f ca="1">IFERROR(__xludf.DUMMYFUNCTION("""COMPUTED_VALUE"""),"Clemson University")</f>
        <v>Clemson University</v>
      </c>
      <c r="D345" s="4" t="str">
        <f ca="1">IFERROR(__xludf.DUMMYFUNCTION("""COMPUTED_VALUE"""),"http://www.clemson.edu/")</f>
        <v>http://www.clemson.edu/</v>
      </c>
      <c r="G345" s="2" t="str">
        <f t="shared" ca="1" si="0"/>
        <v>Clemson University</v>
      </c>
      <c r="H345" s="5" t="str">
        <f t="shared" ca="1" si="1"/>
        <v>Clemson University</v>
      </c>
      <c r="I345" s="3" t="str">
        <f t="shared" ca="1" si="2"/>
        <v>'Clemson University',</v>
      </c>
    </row>
    <row r="346" spans="1:9">
      <c r="A346" s="1" t="s">
        <v>344</v>
      </c>
      <c r="B346" s="3" t="str">
        <f ca="1">IFERROR(__xludf.DUMMYFUNCTION("SPLIT(A346,"","")"),"US")</f>
        <v>US</v>
      </c>
      <c r="C346" s="3" t="str">
        <f ca="1">IFERROR(__xludf.DUMMYFUNCTION("""COMPUTED_VALUE"""),"""Cleveland Chiropractic College")</f>
        <v>"Cleveland Chiropractic College</v>
      </c>
      <c r="D346" s="3" t="str">
        <f ca="1">IFERROR(__xludf.DUMMYFUNCTION("""COMPUTED_VALUE""")," Kansas City""")</f>
        <v xml:space="preserve"> Kansas City"</v>
      </c>
      <c r="E346" s="4" t="str">
        <f ca="1">IFERROR(__xludf.DUMMYFUNCTION("""COMPUTED_VALUE"""),"http://www.clevelandchiropractic.edu/")</f>
        <v>http://www.clevelandchiropractic.edu/</v>
      </c>
      <c r="G346" s="2" t="str">
        <f t="shared" ca="1" si="0"/>
        <v>"Cleveland Chiropractic College</v>
      </c>
      <c r="H346" s="5" t="str">
        <f t="shared" ca="1" si="1"/>
        <v>Cleveland Chiropractic College</v>
      </c>
      <c r="I346" s="3" t="str">
        <f t="shared" ca="1" si="2"/>
        <v>'Cleveland Chiropractic College',</v>
      </c>
    </row>
    <row r="347" spans="1:9">
      <c r="A347" s="1" t="s">
        <v>345</v>
      </c>
      <c r="B347" s="3" t="str">
        <f ca="1">IFERROR(__xludf.DUMMYFUNCTION("SPLIT(A347,"","")"),"US")</f>
        <v>US</v>
      </c>
      <c r="C347" s="3" t="str">
        <f ca="1">IFERROR(__xludf.DUMMYFUNCTION("""COMPUTED_VALUE"""),"""Cleveland Chiropractic College")</f>
        <v>"Cleveland Chiropractic College</v>
      </c>
      <c r="D347" s="3" t="str">
        <f ca="1">IFERROR(__xludf.DUMMYFUNCTION("""COMPUTED_VALUE""")," Los Angeles""")</f>
        <v xml:space="preserve"> Los Angeles"</v>
      </c>
      <c r="E347" s="4" t="str">
        <f ca="1">IFERROR(__xludf.DUMMYFUNCTION("""COMPUTED_VALUE"""),"http://www.clevelandchiropractic.edu/")</f>
        <v>http://www.clevelandchiropractic.edu/</v>
      </c>
      <c r="G347" s="2" t="str">
        <f t="shared" ca="1" si="0"/>
        <v>"Cleveland Chiropractic College</v>
      </c>
      <c r="H347" s="5" t="str">
        <f t="shared" ca="1" si="1"/>
        <v>Cleveland Chiropractic College</v>
      </c>
      <c r="I347" s="3" t="str">
        <f t="shared" ca="1" si="2"/>
        <v>'Cleveland Chiropractic College',</v>
      </c>
    </row>
    <row r="348" spans="1:9">
      <c r="A348" s="1" t="s">
        <v>346</v>
      </c>
      <c r="B348" s="3" t="str">
        <f ca="1">IFERROR(__xludf.DUMMYFUNCTION("SPLIT(A348,"","")"),"US")</f>
        <v>US</v>
      </c>
      <c r="C348" s="3" t="str">
        <f ca="1">IFERROR(__xludf.DUMMYFUNCTION("""COMPUTED_VALUE"""),"Cleveland Institute of Art")</f>
        <v>Cleveland Institute of Art</v>
      </c>
      <c r="D348" s="4" t="str">
        <f ca="1">IFERROR(__xludf.DUMMYFUNCTION("""COMPUTED_VALUE"""),"http://www.cia.edu/")</f>
        <v>http://www.cia.edu/</v>
      </c>
      <c r="G348" s="2" t="str">
        <f t="shared" ca="1" si="0"/>
        <v>Cleveland Institute of Art</v>
      </c>
      <c r="H348" s="5" t="str">
        <f t="shared" ca="1" si="1"/>
        <v>Cleveland Institute of Art</v>
      </c>
      <c r="I348" s="3" t="str">
        <f t="shared" ca="1" si="2"/>
        <v>'Cleveland Institute of Art',</v>
      </c>
    </row>
    <row r="349" spans="1:9">
      <c r="A349" s="1" t="s">
        <v>347</v>
      </c>
      <c r="B349" s="3" t="str">
        <f ca="1">IFERROR(__xludf.DUMMYFUNCTION("SPLIT(A349,"","")"),"US")</f>
        <v>US</v>
      </c>
      <c r="C349" s="3" t="str">
        <f ca="1">IFERROR(__xludf.DUMMYFUNCTION("""COMPUTED_VALUE"""),"Cleveland Institute of Music")</f>
        <v>Cleveland Institute of Music</v>
      </c>
      <c r="D349" s="4" t="str">
        <f ca="1">IFERROR(__xludf.DUMMYFUNCTION("""COMPUTED_VALUE"""),"http://www.cim.edu/")</f>
        <v>http://www.cim.edu/</v>
      </c>
      <c r="G349" s="2" t="str">
        <f t="shared" ca="1" si="0"/>
        <v>Cleveland Institute of Music</v>
      </c>
      <c r="H349" s="5" t="str">
        <f t="shared" ca="1" si="1"/>
        <v>Cleveland Institute of Music</v>
      </c>
      <c r="I349" s="3" t="str">
        <f t="shared" ca="1" si="2"/>
        <v>'Cleveland Institute of Music',</v>
      </c>
    </row>
    <row r="350" spans="1:9">
      <c r="A350" s="1" t="s">
        <v>348</v>
      </c>
      <c r="B350" s="3" t="str">
        <f ca="1">IFERROR(__xludf.DUMMYFUNCTION("SPLIT(A350,"","")"),"US")</f>
        <v>US</v>
      </c>
      <c r="C350" s="3" t="str">
        <f ca="1">IFERROR(__xludf.DUMMYFUNCTION("""COMPUTED_VALUE"""),"Cleveland State University")</f>
        <v>Cleveland State University</v>
      </c>
      <c r="D350" s="4" t="str">
        <f ca="1">IFERROR(__xludf.DUMMYFUNCTION("""COMPUTED_VALUE"""),"http://www.csuohio.edu/")</f>
        <v>http://www.csuohio.edu/</v>
      </c>
      <c r="G350" s="2" t="str">
        <f t="shared" ca="1" si="0"/>
        <v>Cleveland State University</v>
      </c>
      <c r="H350" s="5" t="str">
        <f t="shared" ca="1" si="1"/>
        <v>Cleveland State University</v>
      </c>
      <c r="I350" s="3" t="str">
        <f t="shared" ca="1" si="2"/>
        <v>'Cleveland State University',</v>
      </c>
    </row>
    <row r="351" spans="1:9">
      <c r="A351" s="1" t="s">
        <v>349</v>
      </c>
      <c r="B351" s="3" t="str">
        <f ca="1">IFERROR(__xludf.DUMMYFUNCTION("SPLIT(A351,"","")"),"US")</f>
        <v>US</v>
      </c>
      <c r="C351" s="3" t="str">
        <f ca="1">IFERROR(__xludf.DUMMYFUNCTION("""COMPUTED_VALUE"""),"Coastal Carolina University")</f>
        <v>Coastal Carolina University</v>
      </c>
      <c r="D351" s="4" t="str">
        <f ca="1">IFERROR(__xludf.DUMMYFUNCTION("""COMPUTED_VALUE"""),"http://www.coastal.edu/")</f>
        <v>http://www.coastal.edu/</v>
      </c>
      <c r="G351" s="2" t="str">
        <f t="shared" ca="1" si="0"/>
        <v>Coastal Carolina University</v>
      </c>
      <c r="H351" s="5" t="str">
        <f t="shared" ca="1" si="1"/>
        <v>Coastal Carolina University</v>
      </c>
      <c r="I351" s="3" t="str">
        <f t="shared" ca="1" si="2"/>
        <v>'Coastal Carolina University',</v>
      </c>
    </row>
    <row r="352" spans="1:9">
      <c r="A352" s="1" t="s">
        <v>350</v>
      </c>
      <c r="B352" s="3" t="str">
        <f ca="1">IFERROR(__xludf.DUMMYFUNCTION("SPLIT(A352,"","")"),"US")</f>
        <v>US</v>
      </c>
      <c r="C352" s="3" t="str">
        <f ca="1">IFERROR(__xludf.DUMMYFUNCTION("""COMPUTED_VALUE"""),"Coe College")</f>
        <v>Coe College</v>
      </c>
      <c r="D352" s="4" t="str">
        <f ca="1">IFERROR(__xludf.DUMMYFUNCTION("""COMPUTED_VALUE"""),"http://www.coe.edu/")</f>
        <v>http://www.coe.edu/</v>
      </c>
      <c r="G352" s="2" t="str">
        <f t="shared" ca="1" si="0"/>
        <v>Coe College</v>
      </c>
      <c r="H352" s="5" t="str">
        <f t="shared" ca="1" si="1"/>
        <v>Coe College</v>
      </c>
      <c r="I352" s="3" t="str">
        <f t="shared" ca="1" si="2"/>
        <v>'Coe College',</v>
      </c>
    </row>
    <row r="353" spans="1:9">
      <c r="A353" s="1" t="s">
        <v>351</v>
      </c>
      <c r="B353" s="3" t="str">
        <f ca="1">IFERROR(__xludf.DUMMYFUNCTION("SPLIT(A353,"","")"),"US")</f>
        <v>US</v>
      </c>
      <c r="C353" s="3" t="str">
        <f ca="1">IFERROR(__xludf.DUMMYFUNCTION("""COMPUTED_VALUE"""),"Cogswell Polytechnical College")</f>
        <v>Cogswell Polytechnical College</v>
      </c>
      <c r="D353" s="4" t="str">
        <f ca="1">IFERROR(__xludf.DUMMYFUNCTION("""COMPUTED_VALUE"""),"http://www.cogswell.edu/")</f>
        <v>http://www.cogswell.edu/</v>
      </c>
      <c r="G353" s="2" t="str">
        <f t="shared" ca="1" si="0"/>
        <v>Cogswell Polytechnical College</v>
      </c>
      <c r="H353" s="5" t="str">
        <f t="shared" ca="1" si="1"/>
        <v>Cogswell Polytechnical College</v>
      </c>
      <c r="I353" s="3" t="str">
        <f t="shared" ca="1" si="2"/>
        <v>'Cogswell Polytechnical College',</v>
      </c>
    </row>
    <row r="354" spans="1:9">
      <c r="A354" s="1" t="s">
        <v>352</v>
      </c>
      <c r="B354" s="3" t="str">
        <f ca="1">IFERROR(__xludf.DUMMYFUNCTION("SPLIT(A354,"","")"),"US")</f>
        <v>US</v>
      </c>
      <c r="C354" s="3" t="str">
        <f ca="1">IFERROR(__xludf.DUMMYFUNCTION("""COMPUTED_VALUE"""),"Coker College")</f>
        <v>Coker College</v>
      </c>
      <c r="D354" s="4" t="str">
        <f ca="1">IFERROR(__xludf.DUMMYFUNCTION("""COMPUTED_VALUE"""),"http://www.coker.edu/")</f>
        <v>http://www.coker.edu/</v>
      </c>
      <c r="G354" s="2" t="str">
        <f t="shared" ca="1" si="0"/>
        <v>Coker College</v>
      </c>
      <c r="H354" s="5" t="str">
        <f t="shared" ca="1" si="1"/>
        <v>Coker College</v>
      </c>
      <c r="I354" s="3" t="str">
        <f t="shared" ca="1" si="2"/>
        <v>'Coker College',</v>
      </c>
    </row>
    <row r="355" spans="1:9">
      <c r="A355" s="1" t="s">
        <v>353</v>
      </c>
      <c r="B355" s="3" t="str">
        <f ca="1">IFERROR(__xludf.DUMMYFUNCTION("SPLIT(A355,"","")"),"US")</f>
        <v>US</v>
      </c>
      <c r="C355" s="3" t="str">
        <f ca="1">IFERROR(__xludf.DUMMYFUNCTION("""COMPUTED_VALUE"""),"Colby College")</f>
        <v>Colby College</v>
      </c>
      <c r="D355" s="4" t="str">
        <f ca="1">IFERROR(__xludf.DUMMYFUNCTION("""COMPUTED_VALUE"""),"http://www.colby.edu/")</f>
        <v>http://www.colby.edu/</v>
      </c>
      <c r="G355" s="2" t="str">
        <f t="shared" ca="1" si="0"/>
        <v>Colby College</v>
      </c>
      <c r="H355" s="5" t="str">
        <f t="shared" ca="1" si="1"/>
        <v>Colby College</v>
      </c>
      <c r="I355" s="3" t="str">
        <f t="shared" ca="1" si="2"/>
        <v>'Colby College',</v>
      </c>
    </row>
    <row r="356" spans="1:9">
      <c r="A356" s="1" t="s">
        <v>354</v>
      </c>
      <c r="B356" s="3" t="str">
        <f ca="1">IFERROR(__xludf.DUMMYFUNCTION("SPLIT(A356,"","")"),"US")</f>
        <v>US</v>
      </c>
      <c r="C356" s="3" t="str">
        <f ca="1">IFERROR(__xludf.DUMMYFUNCTION("""COMPUTED_VALUE"""),"Colby-Sawyer College")</f>
        <v>Colby-Sawyer College</v>
      </c>
      <c r="D356" s="4" t="str">
        <f ca="1">IFERROR(__xludf.DUMMYFUNCTION("""COMPUTED_VALUE"""),"http://www.colby-sawyer.edu/")</f>
        <v>http://www.colby-sawyer.edu/</v>
      </c>
      <c r="G356" s="2" t="str">
        <f t="shared" ca="1" si="0"/>
        <v>Colby-Sawyer College</v>
      </c>
      <c r="H356" s="5" t="str">
        <f t="shared" ca="1" si="1"/>
        <v>Colby-Sawyer College</v>
      </c>
      <c r="I356" s="3" t="str">
        <f t="shared" ca="1" si="2"/>
        <v>'Colby-Sawyer College',</v>
      </c>
    </row>
    <row r="357" spans="1:9">
      <c r="A357" s="1" t="s">
        <v>355</v>
      </c>
      <c r="B357" s="3" t="str">
        <f ca="1">IFERROR(__xludf.DUMMYFUNCTION("SPLIT(A357,"","")"),"US")</f>
        <v>US</v>
      </c>
      <c r="C357" s="3" t="str">
        <f ca="1">IFERROR(__xludf.DUMMYFUNCTION("""COMPUTED_VALUE"""),"Coleman College")</f>
        <v>Coleman College</v>
      </c>
      <c r="D357" s="4" t="str">
        <f ca="1">IFERROR(__xludf.DUMMYFUNCTION("""COMPUTED_VALUE"""),"http://www.coleman.edu/")</f>
        <v>http://www.coleman.edu/</v>
      </c>
      <c r="G357" s="2" t="str">
        <f t="shared" ca="1" si="0"/>
        <v>Coleman College</v>
      </c>
      <c r="H357" s="5" t="str">
        <f t="shared" ca="1" si="1"/>
        <v>Coleman College</v>
      </c>
      <c r="I357" s="3" t="str">
        <f t="shared" ca="1" si="2"/>
        <v>'Coleman College',</v>
      </c>
    </row>
    <row r="358" spans="1:9">
      <c r="A358" s="1" t="s">
        <v>356</v>
      </c>
      <c r="B358" s="3" t="str">
        <f ca="1">IFERROR(__xludf.DUMMYFUNCTION("SPLIT(A358,"","")"),"US")</f>
        <v>US</v>
      </c>
      <c r="C358" s="3" t="str">
        <f ca="1">IFERROR(__xludf.DUMMYFUNCTION("""COMPUTED_VALUE"""),"Colgate University")</f>
        <v>Colgate University</v>
      </c>
      <c r="D358" s="4" t="str">
        <f ca="1">IFERROR(__xludf.DUMMYFUNCTION("""COMPUTED_VALUE"""),"http://www.colgate.edu/")</f>
        <v>http://www.colgate.edu/</v>
      </c>
      <c r="G358" s="2" t="str">
        <f t="shared" ca="1" si="0"/>
        <v>Colgate University</v>
      </c>
      <c r="H358" s="5" t="str">
        <f t="shared" ca="1" si="1"/>
        <v>Colgate University</v>
      </c>
      <c r="I358" s="3" t="str">
        <f t="shared" ca="1" si="2"/>
        <v>'Colgate University',</v>
      </c>
    </row>
    <row r="359" spans="1:9">
      <c r="A359" s="1" t="s">
        <v>357</v>
      </c>
      <c r="B359" s="3" t="str">
        <f ca="1">IFERROR(__xludf.DUMMYFUNCTION("SPLIT(A359,"","")"),"US")</f>
        <v>US</v>
      </c>
      <c r="C359" s="3" t="str">
        <f ca="1">IFERROR(__xludf.DUMMYFUNCTION("""COMPUTED_VALUE"""),"""CollegeAmerica")</f>
        <v>"CollegeAmerica</v>
      </c>
      <c r="D359" s="3" t="str">
        <f ca="1">IFERROR(__xludf.DUMMYFUNCTION("""COMPUTED_VALUE""")," Denver""")</f>
        <v xml:space="preserve"> Denver"</v>
      </c>
      <c r="E359" s="4" t="str">
        <f ca="1">IFERROR(__xludf.DUMMYFUNCTION("""COMPUTED_VALUE"""),"http://www.collegeamerica.edu/")</f>
        <v>http://www.collegeamerica.edu/</v>
      </c>
      <c r="G359" s="2" t="str">
        <f t="shared" ca="1" si="0"/>
        <v>"CollegeAmerica</v>
      </c>
      <c r="H359" s="5" t="str">
        <f t="shared" ca="1" si="1"/>
        <v>CollegeAmerica</v>
      </c>
      <c r="I359" s="3" t="str">
        <f t="shared" ca="1" si="2"/>
        <v>'CollegeAmerica',</v>
      </c>
    </row>
    <row r="360" spans="1:9">
      <c r="A360" s="1" t="s">
        <v>358</v>
      </c>
      <c r="B360" s="3" t="str">
        <f ca="1">IFERROR(__xludf.DUMMYFUNCTION("SPLIT(A360,"","")"),"US")</f>
        <v>US</v>
      </c>
      <c r="C360" s="3" t="str">
        <f ca="1">IFERROR(__xludf.DUMMYFUNCTION("""COMPUTED_VALUE"""),"""CollegeAmerica")</f>
        <v>"CollegeAmerica</v>
      </c>
      <c r="D360" s="3" t="str">
        <f ca="1">IFERROR(__xludf.DUMMYFUNCTION("""COMPUTED_VALUE""")," Phoenix""")</f>
        <v xml:space="preserve"> Phoenix"</v>
      </c>
      <c r="E360" s="4" t="str">
        <f ca="1">IFERROR(__xludf.DUMMYFUNCTION("""COMPUTED_VALUE"""),"http://www.collegeamerica.edu/")</f>
        <v>http://www.collegeamerica.edu/</v>
      </c>
      <c r="G360" s="2" t="str">
        <f t="shared" ca="1" si="0"/>
        <v>"CollegeAmerica</v>
      </c>
      <c r="H360" s="5" t="str">
        <f t="shared" ca="1" si="1"/>
        <v>CollegeAmerica</v>
      </c>
      <c r="I360" s="3" t="str">
        <f t="shared" ca="1" si="2"/>
        <v>'CollegeAmerica',</v>
      </c>
    </row>
    <row r="361" spans="1:9">
      <c r="A361" s="1" t="s">
        <v>359</v>
      </c>
      <c r="B361" s="3" t="str">
        <f ca="1">IFERROR(__xludf.DUMMYFUNCTION("SPLIT(A361,"","")"),"US")</f>
        <v>US</v>
      </c>
      <c r="C361" s="3" t="str">
        <f ca="1">IFERROR(__xludf.DUMMYFUNCTION("""COMPUTED_VALUE"""),"College for Creative Studies")</f>
        <v>College for Creative Studies</v>
      </c>
      <c r="D361" s="4" t="str">
        <f ca="1">IFERROR(__xludf.DUMMYFUNCTION("""COMPUTED_VALUE"""),"http://www.ccscad.edu/")</f>
        <v>http://www.ccscad.edu/</v>
      </c>
      <c r="G361" s="2" t="str">
        <f t="shared" ca="1" si="0"/>
        <v>College for Creative Studies</v>
      </c>
      <c r="H361" s="5" t="str">
        <f t="shared" ca="1" si="1"/>
        <v>College for Creative Studies</v>
      </c>
      <c r="I361" s="3" t="str">
        <f t="shared" ca="1" si="2"/>
        <v>'College for Creative Studies',</v>
      </c>
    </row>
    <row r="362" spans="1:9">
      <c r="A362" s="1" t="s">
        <v>360</v>
      </c>
      <c r="B362" s="3" t="str">
        <f ca="1">IFERROR(__xludf.DUMMYFUNCTION("SPLIT(A362,"","")"),"US")</f>
        <v>US</v>
      </c>
      <c r="C362" s="3" t="str">
        <f ca="1">IFERROR(__xludf.DUMMYFUNCTION("""COMPUTED_VALUE"""),"College for Financial Planning")</f>
        <v>College for Financial Planning</v>
      </c>
      <c r="D362" s="4" t="str">
        <f ca="1">IFERROR(__xludf.DUMMYFUNCTION("""COMPUTED_VALUE"""),"http://www.fp.edu/")</f>
        <v>http://www.fp.edu/</v>
      </c>
      <c r="G362" s="2" t="str">
        <f t="shared" ca="1" si="0"/>
        <v>College for Financial Planning</v>
      </c>
      <c r="H362" s="5" t="str">
        <f t="shared" ca="1" si="1"/>
        <v>College for Financial Planning</v>
      </c>
      <c r="I362" s="3" t="str">
        <f t="shared" ca="1" si="2"/>
        <v>'College for Financial Planning',</v>
      </c>
    </row>
    <row r="363" spans="1:9">
      <c r="A363" s="1" t="s">
        <v>361</v>
      </c>
      <c r="B363" s="3" t="str">
        <f ca="1">IFERROR(__xludf.DUMMYFUNCTION("SPLIT(A363,"","")"),"US")</f>
        <v>US</v>
      </c>
      <c r="C363" s="3" t="str">
        <f ca="1">IFERROR(__xludf.DUMMYFUNCTION("""COMPUTED_VALUE"""),"College for Lifelong Learning")</f>
        <v>College for Lifelong Learning</v>
      </c>
      <c r="D363" s="4" t="str">
        <f ca="1">IFERROR(__xludf.DUMMYFUNCTION("""COMPUTED_VALUE"""),"http://www.cll.edu/")</f>
        <v>http://www.cll.edu/</v>
      </c>
      <c r="G363" s="2" t="str">
        <f t="shared" ca="1" si="0"/>
        <v>College for Lifelong Learning</v>
      </c>
      <c r="H363" s="5" t="str">
        <f t="shared" ca="1" si="1"/>
        <v>College for Lifelong Learning</v>
      </c>
      <c r="I363" s="3" t="str">
        <f t="shared" ca="1" si="2"/>
        <v>'College for Lifelong Learning',</v>
      </c>
    </row>
    <row r="364" spans="1:9">
      <c r="A364" s="1" t="s">
        <v>362</v>
      </c>
      <c r="B364" s="3" t="str">
        <f ca="1">IFERROR(__xludf.DUMMYFUNCTION("SPLIT(A364,"","")"),"US")</f>
        <v>US</v>
      </c>
      <c r="C364" s="3" t="str">
        <f ca="1">IFERROR(__xludf.DUMMYFUNCTION("""COMPUTED_VALUE"""),"College Misericordia")</f>
        <v>College Misericordia</v>
      </c>
      <c r="D364" s="4" t="str">
        <f ca="1">IFERROR(__xludf.DUMMYFUNCTION("""COMPUTED_VALUE"""),"http://www.miseri.edu/")</f>
        <v>http://www.miseri.edu/</v>
      </c>
      <c r="G364" s="2" t="str">
        <f t="shared" ca="1" si="0"/>
        <v>College Misericordia</v>
      </c>
      <c r="H364" s="5" t="str">
        <f t="shared" ca="1" si="1"/>
        <v>College Misericordia</v>
      </c>
      <c r="I364" s="3" t="str">
        <f t="shared" ca="1" si="2"/>
        <v>'College Misericordia',</v>
      </c>
    </row>
    <row r="365" spans="1:9">
      <c r="A365" s="1" t="s">
        <v>363</v>
      </c>
      <c r="B365" s="3" t="str">
        <f ca="1">IFERROR(__xludf.DUMMYFUNCTION("SPLIT(A365,"","")"),"US")</f>
        <v>US</v>
      </c>
      <c r="C365" s="3" t="str">
        <f ca="1">IFERROR(__xludf.DUMMYFUNCTION("""COMPUTED_VALUE"""),"College of Aeronautics")</f>
        <v>College of Aeronautics</v>
      </c>
      <c r="D365" s="4" t="str">
        <f ca="1">IFERROR(__xludf.DUMMYFUNCTION("""COMPUTED_VALUE"""),"http://www.aero.edu/")</f>
        <v>http://www.aero.edu/</v>
      </c>
      <c r="G365" s="2" t="str">
        <f t="shared" ca="1" si="0"/>
        <v>College of Aeronautics</v>
      </c>
      <c r="H365" s="5" t="str">
        <f t="shared" ca="1" si="1"/>
        <v>College of Aeronautics</v>
      </c>
      <c r="I365" s="3" t="str">
        <f t="shared" ca="1" si="2"/>
        <v>'College of Aeronautics',</v>
      </c>
    </row>
    <row r="366" spans="1:9">
      <c r="A366" s="1" t="s">
        <v>364</v>
      </c>
      <c r="B366" s="3" t="str">
        <f ca="1">IFERROR(__xludf.DUMMYFUNCTION("SPLIT(A366,"","")"),"US")</f>
        <v>US</v>
      </c>
      <c r="C366" s="3" t="str">
        <f ca="1">IFERROR(__xludf.DUMMYFUNCTION("""COMPUTED_VALUE"""),"College of Charleston")</f>
        <v>College of Charleston</v>
      </c>
      <c r="D366" s="4" t="str">
        <f ca="1">IFERROR(__xludf.DUMMYFUNCTION("""COMPUTED_VALUE"""),"http://www.cofc.edu/")</f>
        <v>http://www.cofc.edu/</v>
      </c>
      <c r="G366" s="2" t="str">
        <f t="shared" ca="1" si="0"/>
        <v>College of Charleston</v>
      </c>
      <c r="H366" s="5" t="str">
        <f t="shared" ca="1" si="1"/>
        <v>College of Charleston</v>
      </c>
      <c r="I366" s="3" t="str">
        <f t="shared" ca="1" si="2"/>
        <v>'College of Charleston',</v>
      </c>
    </row>
    <row r="367" spans="1:9">
      <c r="A367" s="1" t="s">
        <v>365</v>
      </c>
      <c r="B367" s="3" t="str">
        <f ca="1">IFERROR(__xludf.DUMMYFUNCTION("SPLIT(A367,"","")"),"US")</f>
        <v>US</v>
      </c>
      <c r="C367" s="3" t="str">
        <f ca="1">IFERROR(__xludf.DUMMYFUNCTION("""COMPUTED_VALUE"""),"College of DuPage")</f>
        <v>College of DuPage</v>
      </c>
      <c r="D367" s="4" t="str">
        <f ca="1">IFERROR(__xludf.DUMMYFUNCTION("""COMPUTED_VALUE"""),"http://www.cod.edu/")</f>
        <v>http://www.cod.edu/</v>
      </c>
      <c r="G367" s="2" t="str">
        <f t="shared" ca="1" si="0"/>
        <v>College of DuPage</v>
      </c>
      <c r="H367" s="5" t="str">
        <f t="shared" ca="1" si="1"/>
        <v>College of DuPage</v>
      </c>
      <c r="I367" s="3" t="str">
        <f t="shared" ca="1" si="2"/>
        <v>'College of DuPage',</v>
      </c>
    </row>
    <row r="368" spans="1:9">
      <c r="A368" s="1" t="s">
        <v>366</v>
      </c>
      <c r="B368" s="3" t="str">
        <f ca="1">IFERROR(__xludf.DUMMYFUNCTION("SPLIT(A368,"","")"),"US")</f>
        <v>US</v>
      </c>
      <c r="C368" s="3" t="str">
        <f ca="1">IFERROR(__xludf.DUMMYFUNCTION("""COMPUTED_VALUE"""),"College of Idaho")</f>
        <v>College of Idaho</v>
      </c>
      <c r="D368" s="4" t="str">
        <f ca="1">IFERROR(__xludf.DUMMYFUNCTION("""COMPUTED_VALUE"""),"http://www.collegeofidaho.edu/")</f>
        <v>http://www.collegeofidaho.edu/</v>
      </c>
      <c r="G368" s="2" t="str">
        <f t="shared" ca="1" si="0"/>
        <v>College of Idaho</v>
      </c>
      <c r="H368" s="5" t="str">
        <f t="shared" ca="1" si="1"/>
        <v>College of Idaho</v>
      </c>
      <c r="I368" s="3" t="str">
        <f t="shared" ca="1" si="2"/>
        <v>'College of Idaho',</v>
      </c>
    </row>
    <row r="369" spans="1:9">
      <c r="A369" s="1" t="s">
        <v>367</v>
      </c>
      <c r="B369" s="3" t="str">
        <f ca="1">IFERROR(__xludf.DUMMYFUNCTION("SPLIT(A369,"","")"),"US")</f>
        <v>US</v>
      </c>
      <c r="C369" s="3" t="str">
        <f ca="1">IFERROR(__xludf.DUMMYFUNCTION("""COMPUTED_VALUE"""),"College of Mount St. Joseph")</f>
        <v>College of Mount St. Joseph</v>
      </c>
      <c r="D369" s="4" t="str">
        <f ca="1">IFERROR(__xludf.DUMMYFUNCTION("""COMPUTED_VALUE"""),"http://www.msj.edu/")</f>
        <v>http://www.msj.edu/</v>
      </c>
      <c r="G369" s="2" t="str">
        <f t="shared" ca="1" si="0"/>
        <v>College of Mount St. Joseph</v>
      </c>
      <c r="H369" s="5" t="str">
        <f t="shared" ca="1" si="1"/>
        <v>College of Mount St. Joseph</v>
      </c>
      <c r="I369" s="3" t="str">
        <f t="shared" ca="1" si="2"/>
        <v>'College of Mount St. Joseph',</v>
      </c>
    </row>
    <row r="370" spans="1:9">
      <c r="A370" s="1" t="s">
        <v>368</v>
      </c>
      <c r="B370" s="3" t="str">
        <f ca="1">IFERROR(__xludf.DUMMYFUNCTION("SPLIT(A370,"","")"),"US")</f>
        <v>US</v>
      </c>
      <c r="C370" s="3" t="str">
        <f ca="1">IFERROR(__xludf.DUMMYFUNCTION("""COMPUTED_VALUE"""),"College of Mount St. Vincent")</f>
        <v>College of Mount St. Vincent</v>
      </c>
      <c r="D370" s="4" t="str">
        <f ca="1">IFERROR(__xludf.DUMMYFUNCTION("""COMPUTED_VALUE"""),"http://www.cmsv.edu/")</f>
        <v>http://www.cmsv.edu/</v>
      </c>
      <c r="G370" s="2" t="str">
        <f t="shared" ca="1" si="0"/>
        <v>College of Mount St. Vincent</v>
      </c>
      <c r="H370" s="5" t="str">
        <f t="shared" ca="1" si="1"/>
        <v>College of Mount St. Vincent</v>
      </c>
      <c r="I370" s="3" t="str">
        <f t="shared" ca="1" si="2"/>
        <v>'College of Mount St. Vincent',</v>
      </c>
    </row>
    <row r="371" spans="1:9">
      <c r="A371" s="1" t="s">
        <v>369</v>
      </c>
      <c r="B371" s="3" t="str">
        <f ca="1">IFERROR(__xludf.DUMMYFUNCTION("SPLIT(A371,"","")"),"US")</f>
        <v>US</v>
      </c>
      <c r="C371" s="3" t="str">
        <f ca="1">IFERROR(__xludf.DUMMYFUNCTION("""COMPUTED_VALUE"""),"College of New Rochelle")</f>
        <v>College of New Rochelle</v>
      </c>
      <c r="D371" s="4" t="str">
        <f ca="1">IFERROR(__xludf.DUMMYFUNCTION("""COMPUTED_VALUE"""),"http://www.cnr.edu/")</f>
        <v>http://www.cnr.edu/</v>
      </c>
      <c r="G371" s="2" t="str">
        <f t="shared" ca="1" si="0"/>
        <v>College of New Rochelle</v>
      </c>
      <c r="H371" s="5" t="str">
        <f t="shared" ca="1" si="1"/>
        <v>College of New Rochelle</v>
      </c>
      <c r="I371" s="3" t="str">
        <f t="shared" ca="1" si="2"/>
        <v>'College of New Rochelle',</v>
      </c>
    </row>
    <row r="372" spans="1:9">
      <c r="A372" s="1" t="s">
        <v>370</v>
      </c>
      <c r="B372" s="3" t="str">
        <f ca="1">IFERROR(__xludf.DUMMYFUNCTION("SPLIT(A372,"","")"),"US")</f>
        <v>US</v>
      </c>
      <c r="C372" s="3" t="str">
        <f ca="1">IFERROR(__xludf.DUMMYFUNCTION("""COMPUTED_VALUE"""),"College of Notre Dame")</f>
        <v>College of Notre Dame</v>
      </c>
      <c r="D372" s="4" t="str">
        <f ca="1">IFERROR(__xludf.DUMMYFUNCTION("""COMPUTED_VALUE"""),"http://www.cnd.edu/")</f>
        <v>http://www.cnd.edu/</v>
      </c>
      <c r="G372" s="2" t="str">
        <f t="shared" ca="1" si="0"/>
        <v>College of Notre Dame</v>
      </c>
      <c r="H372" s="5" t="str">
        <f t="shared" ca="1" si="1"/>
        <v>College of Notre Dame</v>
      </c>
      <c r="I372" s="3" t="str">
        <f t="shared" ca="1" si="2"/>
        <v>'College of Notre Dame',</v>
      </c>
    </row>
    <row r="373" spans="1:9">
      <c r="A373" s="1" t="s">
        <v>371</v>
      </c>
      <c r="B373" s="3" t="str">
        <f ca="1">IFERROR(__xludf.DUMMYFUNCTION("SPLIT(A373,"","")"),"US")</f>
        <v>US</v>
      </c>
      <c r="C373" s="3" t="str">
        <f ca="1">IFERROR(__xludf.DUMMYFUNCTION("""COMPUTED_VALUE"""),"College of Notre Dame of Maryland")</f>
        <v>College of Notre Dame of Maryland</v>
      </c>
      <c r="D373" s="4" t="str">
        <f ca="1">IFERROR(__xludf.DUMMYFUNCTION("""COMPUTED_VALUE"""),"http://www.ndm.edu/")</f>
        <v>http://www.ndm.edu/</v>
      </c>
      <c r="G373" s="2" t="str">
        <f t="shared" ca="1" si="0"/>
        <v>College of Notre Dame of Maryland</v>
      </c>
      <c r="H373" s="5" t="str">
        <f t="shared" ca="1" si="1"/>
        <v>College of Notre Dame of Maryland</v>
      </c>
      <c r="I373" s="3" t="str">
        <f t="shared" ca="1" si="2"/>
        <v>'College of Notre Dame of Maryland',</v>
      </c>
    </row>
    <row r="374" spans="1:9">
      <c r="A374" s="1" t="s">
        <v>372</v>
      </c>
      <c r="B374" s="3" t="str">
        <f ca="1">IFERROR(__xludf.DUMMYFUNCTION("SPLIT(A374,"","")"),"US")</f>
        <v>US</v>
      </c>
      <c r="C374" s="3" t="str">
        <f ca="1">IFERROR(__xludf.DUMMYFUNCTION("""COMPUTED_VALUE"""),"College of Osteopathic Medicine of the Pacific (Western University of Health Sciences)")</f>
        <v>College of Osteopathic Medicine of the Pacific (Western University of Health Sciences)</v>
      </c>
      <c r="D374" s="4" t="str">
        <f ca="1">IFERROR(__xludf.DUMMYFUNCTION("""COMPUTED_VALUE"""),"http://www.westernu.edu/comp.html")</f>
        <v>http://www.westernu.edu/comp.html</v>
      </c>
      <c r="G374" s="2" t="str">
        <f t="shared" ca="1" si="0"/>
        <v>College of Osteopathic Medicine of the Pacific (Western University of Health Sciences)</v>
      </c>
      <c r="H374" s="5" t="str">
        <f t="shared" ca="1" si="1"/>
        <v>College of Osteopathic Medicine of the Pacific (Western University of Health Sciences)</v>
      </c>
      <c r="I374" s="3" t="str">
        <f t="shared" ca="1" si="2"/>
        <v>'College of Osteopathic Medicine of the Pacific (Western University of Health Sciences)',</v>
      </c>
    </row>
    <row r="375" spans="1:9">
      <c r="A375" s="1" t="s">
        <v>373</v>
      </c>
      <c r="B375" s="3" t="str">
        <f ca="1">IFERROR(__xludf.DUMMYFUNCTION("SPLIT(A375,"","")"),"US")</f>
        <v>US</v>
      </c>
      <c r="C375" s="3" t="str">
        <f ca="1">IFERROR(__xludf.DUMMYFUNCTION("""COMPUTED_VALUE"""),"College of St. Benedict and St. John's University")</f>
        <v>College of St. Benedict and St. John's University</v>
      </c>
      <c r="D375" s="4" t="str">
        <f ca="1">IFERROR(__xludf.DUMMYFUNCTION("""COMPUTED_VALUE"""),"http://www.csbsju.edu/")</f>
        <v>http://www.csbsju.edu/</v>
      </c>
      <c r="G375" s="2" t="str">
        <f t="shared" ca="1" si="0"/>
        <v>College of St. Benedict and St. John's University</v>
      </c>
      <c r="H375" s="5" t="str">
        <f t="shared" ca="1" si="1"/>
        <v>College of St. Benedict and St. John's University</v>
      </c>
      <c r="I375" s="3" t="str">
        <f t="shared" ca="1" si="2"/>
        <v>'College of St. Benedict and St. John's University',</v>
      </c>
    </row>
    <row r="376" spans="1:9">
      <c r="A376" s="1" t="s">
        <v>374</v>
      </c>
      <c r="B376" s="3" t="str">
        <f ca="1">IFERROR(__xludf.DUMMYFUNCTION("SPLIT(A376,"","")"),"US")</f>
        <v>US</v>
      </c>
      <c r="C376" s="3" t="str">
        <f ca="1">IFERROR(__xludf.DUMMYFUNCTION("""COMPUTED_VALUE"""),"College of St. Catherine")</f>
        <v>College of St. Catherine</v>
      </c>
      <c r="D376" s="4" t="str">
        <f ca="1">IFERROR(__xludf.DUMMYFUNCTION("""COMPUTED_VALUE"""),"http://www.stkate.edu/")</f>
        <v>http://www.stkate.edu/</v>
      </c>
      <c r="G376" s="2" t="str">
        <f t="shared" ca="1" si="0"/>
        <v>College of St. Catherine</v>
      </c>
      <c r="H376" s="5" t="str">
        <f t="shared" ca="1" si="1"/>
        <v>College of St. Catherine</v>
      </c>
      <c r="I376" s="3" t="str">
        <f t="shared" ca="1" si="2"/>
        <v>'College of St. Catherine',</v>
      </c>
    </row>
    <row r="377" spans="1:9">
      <c r="A377" s="1" t="s">
        <v>375</v>
      </c>
      <c r="B377" s="3" t="str">
        <f ca="1">IFERROR(__xludf.DUMMYFUNCTION("SPLIT(A377,"","")"),"US")</f>
        <v>US</v>
      </c>
      <c r="C377" s="3" t="str">
        <f ca="1">IFERROR(__xludf.DUMMYFUNCTION("""COMPUTED_VALUE"""),"College of St. Elizabeth")</f>
        <v>College of St. Elizabeth</v>
      </c>
      <c r="D377" s="4" t="str">
        <f ca="1">IFERROR(__xludf.DUMMYFUNCTION("""COMPUTED_VALUE"""),"http://www.st-elizabeth.edu/")</f>
        <v>http://www.st-elizabeth.edu/</v>
      </c>
      <c r="G377" s="2" t="str">
        <f t="shared" ca="1" si="0"/>
        <v>College of St. Elizabeth</v>
      </c>
      <c r="H377" s="5" t="str">
        <f t="shared" ca="1" si="1"/>
        <v>College of St. Elizabeth</v>
      </c>
      <c r="I377" s="3" t="str">
        <f t="shared" ca="1" si="2"/>
        <v>'College of St. Elizabeth',</v>
      </c>
    </row>
    <row r="378" spans="1:9">
      <c r="A378" s="1" t="s">
        <v>376</v>
      </c>
      <c r="B378" s="3" t="str">
        <f ca="1">IFERROR(__xludf.DUMMYFUNCTION("SPLIT(A378,"","")"),"US")</f>
        <v>US</v>
      </c>
      <c r="C378" s="3" t="str">
        <f ca="1">IFERROR(__xludf.DUMMYFUNCTION("""COMPUTED_VALUE"""),"College of St. Joseph")</f>
        <v>College of St. Joseph</v>
      </c>
      <c r="D378" s="4" t="str">
        <f ca="1">IFERROR(__xludf.DUMMYFUNCTION("""COMPUTED_VALUE"""),"http://www.csj.edu/")</f>
        <v>http://www.csj.edu/</v>
      </c>
      <c r="G378" s="2" t="str">
        <f t="shared" ca="1" si="0"/>
        <v>College of St. Joseph</v>
      </c>
      <c r="H378" s="5" t="str">
        <f t="shared" ca="1" si="1"/>
        <v>College of St. Joseph</v>
      </c>
      <c r="I378" s="3" t="str">
        <f t="shared" ca="1" si="2"/>
        <v>'College of St. Joseph',</v>
      </c>
    </row>
    <row r="379" spans="1:9">
      <c r="A379" s="1" t="s">
        <v>377</v>
      </c>
      <c r="B379" s="3" t="str">
        <f ca="1">IFERROR(__xludf.DUMMYFUNCTION("SPLIT(A379,"","")"),"US")</f>
        <v>US</v>
      </c>
      <c r="C379" s="3" t="str">
        <f ca="1">IFERROR(__xludf.DUMMYFUNCTION("""COMPUTED_VALUE"""),"College of St. Mary")</f>
        <v>College of St. Mary</v>
      </c>
      <c r="D379" s="4" t="str">
        <f ca="1">IFERROR(__xludf.DUMMYFUNCTION("""COMPUTED_VALUE"""),"http://www.csm.edu/")</f>
        <v>http://www.csm.edu/</v>
      </c>
      <c r="G379" s="2" t="str">
        <f t="shared" ca="1" si="0"/>
        <v>College of St. Mary</v>
      </c>
      <c r="H379" s="5" t="str">
        <f t="shared" ca="1" si="1"/>
        <v>College of St. Mary</v>
      </c>
      <c r="I379" s="3" t="str">
        <f t="shared" ca="1" si="2"/>
        <v>'College of St. Mary',</v>
      </c>
    </row>
    <row r="380" spans="1:9">
      <c r="A380" s="1" t="s">
        <v>378</v>
      </c>
      <c r="B380" s="3" t="str">
        <f ca="1">IFERROR(__xludf.DUMMYFUNCTION("SPLIT(A380,"","")"),"US")</f>
        <v>US</v>
      </c>
      <c r="C380" s="3" t="str">
        <f ca="1">IFERROR(__xludf.DUMMYFUNCTION("""COMPUTED_VALUE"""),"College of St. Rose")</f>
        <v>College of St. Rose</v>
      </c>
      <c r="D380" s="4" t="str">
        <f ca="1">IFERROR(__xludf.DUMMYFUNCTION("""COMPUTED_VALUE"""),"http://www.strose.edu/")</f>
        <v>http://www.strose.edu/</v>
      </c>
      <c r="G380" s="2" t="str">
        <f t="shared" ca="1" si="0"/>
        <v>College of St. Rose</v>
      </c>
      <c r="H380" s="5" t="str">
        <f t="shared" ca="1" si="1"/>
        <v>College of St. Rose</v>
      </c>
      <c r="I380" s="3" t="str">
        <f t="shared" ca="1" si="2"/>
        <v>'College of St. Rose',</v>
      </c>
    </row>
    <row r="381" spans="1:9">
      <c r="A381" s="1" t="s">
        <v>379</v>
      </c>
      <c r="B381" s="3" t="str">
        <f ca="1">IFERROR(__xludf.DUMMYFUNCTION("SPLIT(A381,"","")"),"US")</f>
        <v>US</v>
      </c>
      <c r="C381" s="3" t="str">
        <f ca="1">IFERROR(__xludf.DUMMYFUNCTION("""COMPUTED_VALUE"""),"College of St. Scholastica")</f>
        <v>College of St. Scholastica</v>
      </c>
      <c r="D381" s="4" t="str">
        <f ca="1">IFERROR(__xludf.DUMMYFUNCTION("""COMPUTED_VALUE"""),"http://www.css.edu/")</f>
        <v>http://www.css.edu/</v>
      </c>
      <c r="G381" s="2" t="str">
        <f t="shared" ca="1" si="0"/>
        <v>College of St. Scholastica</v>
      </c>
      <c r="H381" s="5" t="str">
        <f t="shared" ca="1" si="1"/>
        <v>College of St. Scholastica</v>
      </c>
      <c r="I381" s="3" t="str">
        <f t="shared" ca="1" si="2"/>
        <v>'College of St. Scholastica',</v>
      </c>
    </row>
    <row r="382" spans="1:9">
      <c r="A382" s="1" t="s">
        <v>380</v>
      </c>
      <c r="B382" s="3" t="str">
        <f ca="1">IFERROR(__xludf.DUMMYFUNCTION("SPLIT(A382,"","")"),"US")</f>
        <v>US</v>
      </c>
      <c r="C382" s="3" t="str">
        <f ca="1">IFERROR(__xludf.DUMMYFUNCTION("""COMPUTED_VALUE"""),"College of the Atlantic")</f>
        <v>College of the Atlantic</v>
      </c>
      <c r="D382" s="4" t="str">
        <f ca="1">IFERROR(__xludf.DUMMYFUNCTION("""COMPUTED_VALUE"""),"http://www.coa.edu/")</f>
        <v>http://www.coa.edu/</v>
      </c>
      <c r="G382" s="2" t="str">
        <f t="shared" ca="1" si="0"/>
        <v>College of the Atlantic</v>
      </c>
      <c r="H382" s="5" t="str">
        <f t="shared" ca="1" si="1"/>
        <v>College of the Atlantic</v>
      </c>
      <c r="I382" s="3" t="str">
        <f t="shared" ca="1" si="2"/>
        <v>'College of the Atlantic',</v>
      </c>
    </row>
    <row r="383" spans="1:9">
      <c r="A383" s="1" t="s">
        <v>381</v>
      </c>
      <c r="B383" s="3" t="str">
        <f ca="1">IFERROR(__xludf.DUMMYFUNCTION("SPLIT(A383,"","")"),"US")</f>
        <v>US</v>
      </c>
      <c r="C383" s="3" t="str">
        <f ca="1">IFERROR(__xludf.DUMMYFUNCTION("""COMPUTED_VALUE"""),"College of the Holy Cross")</f>
        <v>College of the Holy Cross</v>
      </c>
      <c r="D383" s="4" t="str">
        <f ca="1">IFERROR(__xludf.DUMMYFUNCTION("""COMPUTED_VALUE"""),"http://www.holycross.edu/")</f>
        <v>http://www.holycross.edu/</v>
      </c>
      <c r="G383" s="2" t="str">
        <f t="shared" ca="1" si="0"/>
        <v>College of the Holy Cross</v>
      </c>
      <c r="H383" s="5" t="str">
        <f t="shared" ca="1" si="1"/>
        <v>College of the Holy Cross</v>
      </c>
      <c r="I383" s="3" t="str">
        <f t="shared" ca="1" si="2"/>
        <v>'College of the Holy Cross',</v>
      </c>
    </row>
    <row r="384" spans="1:9">
      <c r="A384" s="1" t="s">
        <v>382</v>
      </c>
      <c r="B384" s="3" t="str">
        <f ca="1">IFERROR(__xludf.DUMMYFUNCTION("SPLIT(A384,"","")"),"US")</f>
        <v>US</v>
      </c>
      <c r="C384" s="3" t="str">
        <f ca="1">IFERROR(__xludf.DUMMYFUNCTION("""COMPUTED_VALUE"""),"College of the Ozarks")</f>
        <v>College of the Ozarks</v>
      </c>
      <c r="D384" s="4" t="str">
        <f ca="1">IFERROR(__xludf.DUMMYFUNCTION("""COMPUTED_VALUE"""),"http://www.cofo.edu/")</f>
        <v>http://www.cofo.edu/</v>
      </c>
      <c r="G384" s="2" t="str">
        <f t="shared" ca="1" si="0"/>
        <v>College of the Ozarks</v>
      </c>
      <c r="H384" s="5" t="str">
        <f t="shared" ca="1" si="1"/>
        <v>College of the Ozarks</v>
      </c>
      <c r="I384" s="3" t="str">
        <f t="shared" ca="1" si="2"/>
        <v>'College of the Ozarks',</v>
      </c>
    </row>
    <row r="385" spans="1:9">
      <c r="A385" s="1" t="s">
        <v>383</v>
      </c>
      <c r="B385" s="3" t="str">
        <f ca="1">IFERROR(__xludf.DUMMYFUNCTION("SPLIT(A385,"","")"),"US")</f>
        <v>US</v>
      </c>
      <c r="C385" s="3" t="str">
        <f ca="1">IFERROR(__xludf.DUMMYFUNCTION("""COMPUTED_VALUE"""),"College of Visual Arts")</f>
        <v>College of Visual Arts</v>
      </c>
      <c r="D385" s="4" t="str">
        <f ca="1">IFERROR(__xludf.DUMMYFUNCTION("""COMPUTED_VALUE"""),"http://www.cva.edu/")</f>
        <v>http://www.cva.edu/</v>
      </c>
      <c r="G385" s="2" t="str">
        <f t="shared" ca="1" si="0"/>
        <v>College of Visual Arts</v>
      </c>
      <c r="H385" s="5" t="str">
        <f t="shared" ca="1" si="1"/>
        <v>College of Visual Arts</v>
      </c>
      <c r="I385" s="3" t="str">
        <f t="shared" ca="1" si="2"/>
        <v>'College of Visual Arts',</v>
      </c>
    </row>
    <row r="386" spans="1:9">
      <c r="A386" s="1" t="s">
        <v>384</v>
      </c>
      <c r="B386" s="3" t="str">
        <f ca="1">IFERROR(__xludf.DUMMYFUNCTION("SPLIT(A386,"","")"),"US")</f>
        <v>US</v>
      </c>
      <c r="C386" s="3" t="str">
        <f ca="1">IFERROR(__xludf.DUMMYFUNCTION("""COMPUTED_VALUE"""),"College of William and Mary")</f>
        <v>College of William and Mary</v>
      </c>
      <c r="D386" s="4" t="str">
        <f ca="1">IFERROR(__xludf.DUMMYFUNCTION("""COMPUTED_VALUE"""),"http://www.wm.edu/")</f>
        <v>http://www.wm.edu/</v>
      </c>
      <c r="G386" s="2" t="str">
        <f t="shared" ca="1" si="0"/>
        <v>College of William and Mary</v>
      </c>
      <c r="H386" s="5" t="str">
        <f t="shared" ca="1" si="1"/>
        <v>College of William and Mary</v>
      </c>
      <c r="I386" s="3" t="str">
        <f t="shared" ca="1" si="2"/>
        <v>'College of William and Mary',</v>
      </c>
    </row>
    <row r="387" spans="1:9">
      <c r="A387" s="1" t="s">
        <v>385</v>
      </c>
      <c r="B387" s="3" t="str">
        <f ca="1">IFERROR(__xludf.DUMMYFUNCTION("SPLIT(A387,"","")"),"US")</f>
        <v>US</v>
      </c>
      <c r="C387" s="3" t="str">
        <f ca="1">IFERROR(__xludf.DUMMYFUNCTION("""COMPUTED_VALUE"""),"Colorado Christian University")</f>
        <v>Colorado Christian University</v>
      </c>
      <c r="D387" s="4" t="str">
        <f ca="1">IFERROR(__xludf.DUMMYFUNCTION("""COMPUTED_VALUE"""),"http://www.ccu.edu/")</f>
        <v>http://www.ccu.edu/</v>
      </c>
      <c r="G387" s="2" t="str">
        <f t="shared" ca="1" si="0"/>
        <v>Colorado Christian University</v>
      </c>
      <c r="H387" s="5" t="str">
        <f t="shared" ca="1" si="1"/>
        <v>Colorado Christian University</v>
      </c>
      <c r="I387" s="3" t="str">
        <f t="shared" ca="1" si="2"/>
        <v>'Colorado Christian University',</v>
      </c>
    </row>
    <row r="388" spans="1:9">
      <c r="A388" s="1" t="s">
        <v>386</v>
      </c>
      <c r="B388" s="3" t="str">
        <f ca="1">IFERROR(__xludf.DUMMYFUNCTION("SPLIT(A388,"","")"),"US")</f>
        <v>US</v>
      </c>
      <c r="C388" s="3" t="str">
        <f ca="1">IFERROR(__xludf.DUMMYFUNCTION("""COMPUTED_VALUE"""),"Colorado College")</f>
        <v>Colorado College</v>
      </c>
      <c r="D388" s="4" t="str">
        <f ca="1">IFERROR(__xludf.DUMMYFUNCTION("""COMPUTED_VALUE"""),"http://www.cc.colorado.edu/")</f>
        <v>http://www.cc.colorado.edu/</v>
      </c>
      <c r="G388" s="2" t="str">
        <f t="shared" ca="1" si="0"/>
        <v>Colorado College</v>
      </c>
      <c r="H388" s="5" t="str">
        <f t="shared" ca="1" si="1"/>
        <v>Colorado College</v>
      </c>
      <c r="I388" s="3" t="str">
        <f t="shared" ca="1" si="2"/>
        <v>'Colorado College',</v>
      </c>
    </row>
    <row r="389" spans="1:9">
      <c r="A389" s="1" t="s">
        <v>387</v>
      </c>
      <c r="B389" s="3" t="str">
        <f ca="1">IFERROR(__xludf.DUMMYFUNCTION("SPLIT(A389,"","")"),"US")</f>
        <v>US</v>
      </c>
      <c r="C389" s="3" t="str">
        <f ca="1">IFERROR(__xludf.DUMMYFUNCTION("""COMPUTED_VALUE"""),"Colorado School of Mines")</f>
        <v>Colorado School of Mines</v>
      </c>
      <c r="D389" s="4" t="str">
        <f ca="1">IFERROR(__xludf.DUMMYFUNCTION("""COMPUTED_VALUE"""),"http://www.mines.edu/")</f>
        <v>http://www.mines.edu/</v>
      </c>
      <c r="G389" s="2" t="str">
        <f t="shared" ca="1" si="0"/>
        <v>Colorado School of Mines</v>
      </c>
      <c r="H389" s="5" t="str">
        <f t="shared" ca="1" si="1"/>
        <v>Colorado School of Mines</v>
      </c>
      <c r="I389" s="3" t="str">
        <f t="shared" ca="1" si="2"/>
        <v>'Colorado School of Mines',</v>
      </c>
    </row>
    <row r="390" spans="1:9">
      <c r="A390" s="1" t="s">
        <v>388</v>
      </c>
      <c r="B390" s="3" t="str">
        <f ca="1">IFERROR(__xludf.DUMMYFUNCTION("SPLIT(A390,"","")"),"US")</f>
        <v>US</v>
      </c>
      <c r="C390" s="3" t="str">
        <f ca="1">IFERROR(__xludf.DUMMYFUNCTION("""COMPUTED_VALUE"""),"Colorado State University")</f>
        <v>Colorado State University</v>
      </c>
      <c r="D390" s="4" t="str">
        <f ca="1">IFERROR(__xludf.DUMMYFUNCTION("""COMPUTED_VALUE"""),"http://www.colostate.edu/")</f>
        <v>http://www.colostate.edu/</v>
      </c>
      <c r="G390" s="2" t="str">
        <f t="shared" ca="1" si="0"/>
        <v>Colorado State University</v>
      </c>
      <c r="H390" s="5" t="str">
        <f t="shared" ca="1" si="1"/>
        <v>Colorado State University</v>
      </c>
      <c r="I390" s="3" t="str">
        <f t="shared" ca="1" si="2"/>
        <v>'Colorado State University',</v>
      </c>
    </row>
    <row r="391" spans="1:9">
      <c r="A391" s="1" t="s">
        <v>389</v>
      </c>
      <c r="B391" s="3" t="str">
        <f ca="1">IFERROR(__xludf.DUMMYFUNCTION("SPLIT(A391,"","")"),"US")</f>
        <v>US</v>
      </c>
      <c r="C391" s="3" t="str">
        <f ca="1">IFERROR(__xludf.DUMMYFUNCTION("""COMPUTED_VALUE"""),"Colorado State University-Pueblo")</f>
        <v>Colorado State University-Pueblo</v>
      </c>
      <c r="D391" s="4" t="str">
        <f ca="1">IFERROR(__xludf.DUMMYFUNCTION("""COMPUTED_VALUE"""),"http://www.colostate-pueblo.edu/")</f>
        <v>http://www.colostate-pueblo.edu/</v>
      </c>
      <c r="G391" s="2" t="str">
        <f t="shared" ca="1" si="0"/>
        <v>Colorado State University-Pueblo</v>
      </c>
      <c r="H391" s="5" t="str">
        <f t="shared" ca="1" si="1"/>
        <v>Colorado State University-Pueblo</v>
      </c>
      <c r="I391" s="3" t="str">
        <f t="shared" ca="1" si="2"/>
        <v>'Colorado State University-Pueblo',</v>
      </c>
    </row>
    <row r="392" spans="1:9">
      <c r="A392" s="1" t="s">
        <v>390</v>
      </c>
      <c r="B392" s="3" t="str">
        <f ca="1">IFERROR(__xludf.DUMMYFUNCTION("SPLIT(A392,"","")"),"US")</f>
        <v>US</v>
      </c>
      <c r="C392" s="3" t="str">
        <f ca="1">IFERROR(__xludf.DUMMYFUNCTION("""COMPUTED_VALUE"""),"Colorado Technical University")</f>
        <v>Colorado Technical University</v>
      </c>
      <c r="D392" s="4" t="str">
        <f ca="1">IFERROR(__xludf.DUMMYFUNCTION("""COMPUTED_VALUE"""),"http://www.colotechu.edu/")</f>
        <v>http://www.colotechu.edu/</v>
      </c>
      <c r="G392" s="2" t="str">
        <f t="shared" ca="1" si="0"/>
        <v>Colorado Technical University</v>
      </c>
      <c r="H392" s="5" t="str">
        <f t="shared" ca="1" si="1"/>
        <v>Colorado Technical University</v>
      </c>
      <c r="I392" s="3" t="str">
        <f t="shared" ca="1" si="2"/>
        <v>'Colorado Technical University',</v>
      </c>
    </row>
    <row r="393" spans="1:9">
      <c r="A393" s="1" t="s">
        <v>391</v>
      </c>
      <c r="B393" s="3" t="str">
        <f ca="1">IFERROR(__xludf.DUMMYFUNCTION("SPLIT(A393,"","")"),"US")</f>
        <v>US</v>
      </c>
      <c r="C393" s="3" t="str">
        <f ca="1">IFERROR(__xludf.DUMMYFUNCTION("""COMPUTED_VALUE"""),"Columbia College Chicago")</f>
        <v>Columbia College Chicago</v>
      </c>
      <c r="D393" s="4" t="str">
        <f ca="1">IFERROR(__xludf.DUMMYFUNCTION("""COMPUTED_VALUE"""),"http://www.colum.edu/")</f>
        <v>http://www.colum.edu/</v>
      </c>
      <c r="G393" s="2" t="str">
        <f t="shared" ca="1" si="0"/>
        <v>Columbia College Chicago</v>
      </c>
      <c r="H393" s="5" t="str">
        <f t="shared" ca="1" si="1"/>
        <v>Columbia College Chicago</v>
      </c>
      <c r="I393" s="3" t="str">
        <f t="shared" ca="1" si="2"/>
        <v>'Columbia College Chicago',</v>
      </c>
    </row>
    <row r="394" spans="1:9">
      <c r="A394" s="1" t="s">
        <v>392</v>
      </c>
      <c r="B394" s="3" t="str">
        <f ca="1">IFERROR(__xludf.DUMMYFUNCTION("SPLIT(A394,"","")"),"US")</f>
        <v>US</v>
      </c>
      <c r="C394" s="3" t="str">
        <f ca="1">IFERROR(__xludf.DUMMYFUNCTION("""COMPUTED_VALUE"""),"Columbia College Hollywood")</f>
        <v>Columbia College Hollywood</v>
      </c>
      <c r="D394" s="4" t="str">
        <f ca="1">IFERROR(__xludf.DUMMYFUNCTION("""COMPUTED_VALUE"""),"http://www.columbiacollege.edu/")</f>
        <v>http://www.columbiacollege.edu/</v>
      </c>
      <c r="G394" s="2" t="str">
        <f t="shared" ca="1" si="0"/>
        <v>Columbia College Hollywood</v>
      </c>
      <c r="H394" s="5" t="str">
        <f t="shared" ca="1" si="1"/>
        <v>Columbia College Hollywood</v>
      </c>
      <c r="I394" s="3" t="str">
        <f t="shared" ca="1" si="2"/>
        <v>'Columbia College Hollywood',</v>
      </c>
    </row>
    <row r="395" spans="1:9">
      <c r="A395" s="1" t="s">
        <v>393</v>
      </c>
      <c r="B395" s="3" t="str">
        <f ca="1">IFERROR(__xludf.DUMMYFUNCTION("SPLIT(A395,"","")"),"US")</f>
        <v>US</v>
      </c>
      <c r="C395" s="3" t="str">
        <f ca="1">IFERROR(__xludf.DUMMYFUNCTION("""COMPUTED_VALUE"""),"Columbia College of Missouri")</f>
        <v>Columbia College of Missouri</v>
      </c>
      <c r="D395" s="4" t="str">
        <f ca="1">IFERROR(__xludf.DUMMYFUNCTION("""COMPUTED_VALUE"""),"http://www.ccis.edu/")</f>
        <v>http://www.ccis.edu/</v>
      </c>
      <c r="G395" s="2" t="str">
        <f t="shared" ca="1" si="0"/>
        <v>Columbia College of Missouri</v>
      </c>
      <c r="H395" s="5" t="str">
        <f t="shared" ca="1" si="1"/>
        <v>Columbia College of Missouri</v>
      </c>
      <c r="I395" s="3" t="str">
        <f t="shared" ca="1" si="2"/>
        <v>'Columbia College of Missouri',</v>
      </c>
    </row>
    <row r="396" spans="1:9">
      <c r="A396" s="1" t="s">
        <v>394</v>
      </c>
      <c r="B396" s="3" t="str">
        <f ca="1">IFERROR(__xludf.DUMMYFUNCTION("SPLIT(A396,"","")"),"US")</f>
        <v>US</v>
      </c>
      <c r="C396" s="3" t="str">
        <f ca="1">IFERROR(__xludf.DUMMYFUNCTION("""COMPUTED_VALUE"""),"Columbia College South Carolina")</f>
        <v>Columbia College South Carolina</v>
      </c>
      <c r="D396" s="4" t="str">
        <f ca="1">IFERROR(__xludf.DUMMYFUNCTION("""COMPUTED_VALUE"""),"http://www.colacoll.edu/")</f>
        <v>http://www.colacoll.edu/</v>
      </c>
      <c r="G396" s="2" t="str">
        <f t="shared" ca="1" si="0"/>
        <v>Columbia College South Carolina</v>
      </c>
      <c r="H396" s="5" t="str">
        <f t="shared" ca="1" si="1"/>
        <v>Columbia College South Carolina</v>
      </c>
      <c r="I396" s="3" t="str">
        <f t="shared" ca="1" si="2"/>
        <v>'Columbia College South Carolina',</v>
      </c>
    </row>
    <row r="397" spans="1:9">
      <c r="A397" s="1" t="s">
        <v>395</v>
      </c>
      <c r="B397" s="3" t="str">
        <f ca="1">IFERROR(__xludf.DUMMYFUNCTION("SPLIT(A397,"","")"),"US")</f>
        <v>US</v>
      </c>
      <c r="C397" s="3" t="str">
        <f ca="1">IFERROR(__xludf.DUMMYFUNCTION("""COMPUTED_VALUE"""),"Columbia Commonwealth University")</f>
        <v>Columbia Commonwealth University</v>
      </c>
      <c r="D397" s="4" t="str">
        <f ca="1">IFERROR(__xludf.DUMMYFUNCTION("""COMPUTED_VALUE"""),"http://www.ccwu.edu/")</f>
        <v>http://www.ccwu.edu/</v>
      </c>
      <c r="G397" s="2" t="str">
        <f t="shared" ca="1" si="0"/>
        <v>Columbia Commonwealth University</v>
      </c>
      <c r="H397" s="5" t="str">
        <f t="shared" ca="1" si="1"/>
        <v>Columbia Commonwealth University</v>
      </c>
      <c r="I397" s="3" t="str">
        <f t="shared" ca="1" si="2"/>
        <v>'Columbia Commonwealth University',</v>
      </c>
    </row>
    <row r="398" spans="1:9">
      <c r="A398" s="1" t="s">
        <v>396</v>
      </c>
      <c r="B398" s="3" t="str">
        <f ca="1">IFERROR(__xludf.DUMMYFUNCTION("SPLIT(A398,"","")"),"US")</f>
        <v>US</v>
      </c>
      <c r="C398" s="3" t="str">
        <f ca="1">IFERROR(__xludf.DUMMYFUNCTION("""COMPUTED_VALUE"""),"Columbia International University")</f>
        <v>Columbia International University</v>
      </c>
      <c r="D398" s="4" t="str">
        <f ca="1">IFERROR(__xludf.DUMMYFUNCTION("""COMPUTED_VALUE"""),"http://www.ciu.edu/")</f>
        <v>http://www.ciu.edu/</v>
      </c>
      <c r="G398" s="2" t="str">
        <f t="shared" ca="1" si="0"/>
        <v>Columbia International University</v>
      </c>
      <c r="H398" s="5" t="str">
        <f t="shared" ca="1" si="1"/>
        <v>Columbia International University</v>
      </c>
      <c r="I398" s="3" t="str">
        <f t="shared" ca="1" si="2"/>
        <v>'Columbia International University',</v>
      </c>
    </row>
    <row r="399" spans="1:9">
      <c r="A399" s="1" t="s">
        <v>397</v>
      </c>
      <c r="B399" s="3" t="str">
        <f ca="1">IFERROR(__xludf.DUMMYFUNCTION("SPLIT(A399,"","")"),"US")</f>
        <v>US</v>
      </c>
      <c r="C399" s="3" t="str">
        <f ca="1">IFERROR(__xludf.DUMMYFUNCTION("""COMPUTED_VALUE"""),"Columbia Southern University")</f>
        <v>Columbia Southern University</v>
      </c>
      <c r="D399" s="4" t="str">
        <f ca="1">IFERROR(__xludf.DUMMYFUNCTION("""COMPUTED_VALUE"""),"http://www.columbiasouthern.edu/")</f>
        <v>http://www.columbiasouthern.edu/</v>
      </c>
      <c r="G399" s="2" t="str">
        <f t="shared" ca="1" si="0"/>
        <v>Columbia Southern University</v>
      </c>
      <c r="H399" s="5" t="str">
        <f t="shared" ca="1" si="1"/>
        <v>Columbia Southern University</v>
      </c>
      <c r="I399" s="3" t="str">
        <f t="shared" ca="1" si="2"/>
        <v>'Columbia Southern University',</v>
      </c>
    </row>
    <row r="400" spans="1:9">
      <c r="A400" s="1" t="s">
        <v>398</v>
      </c>
      <c r="B400" s="3" t="str">
        <f ca="1">IFERROR(__xludf.DUMMYFUNCTION("SPLIT(A400,"","")"),"US")</f>
        <v>US</v>
      </c>
      <c r="C400" s="3" t="str">
        <f ca="1">IFERROR(__xludf.DUMMYFUNCTION("""COMPUTED_VALUE"""),"Columbia Union College")</f>
        <v>Columbia Union College</v>
      </c>
      <c r="D400" s="4" t="str">
        <f ca="1">IFERROR(__xludf.DUMMYFUNCTION("""COMPUTED_VALUE"""),"http://www.cuc.edu/")</f>
        <v>http://www.cuc.edu/</v>
      </c>
      <c r="G400" s="2" t="str">
        <f t="shared" ca="1" si="0"/>
        <v>Columbia Union College</v>
      </c>
      <c r="H400" s="5" t="str">
        <f t="shared" ca="1" si="1"/>
        <v>Columbia Union College</v>
      </c>
      <c r="I400" s="3" t="str">
        <f t="shared" ca="1" si="2"/>
        <v>'Columbia Union College',</v>
      </c>
    </row>
    <row r="401" spans="1:9">
      <c r="A401" s="1" t="s">
        <v>399</v>
      </c>
      <c r="B401" s="3" t="str">
        <f ca="1">IFERROR(__xludf.DUMMYFUNCTION("SPLIT(A401,"","")"),"US")</f>
        <v>US</v>
      </c>
      <c r="C401" s="3" t="str">
        <f ca="1">IFERROR(__xludf.DUMMYFUNCTION("""COMPUTED_VALUE"""),"Columbia University")</f>
        <v>Columbia University</v>
      </c>
      <c r="D401" s="4" t="str">
        <f ca="1">IFERROR(__xludf.DUMMYFUNCTION("""COMPUTED_VALUE"""),"http://www.columbia.edu/")</f>
        <v>http://www.columbia.edu/</v>
      </c>
      <c r="G401" s="2" t="str">
        <f t="shared" ca="1" si="0"/>
        <v>Columbia University</v>
      </c>
      <c r="H401" s="5" t="str">
        <f t="shared" ca="1" si="1"/>
        <v>Columbia University</v>
      </c>
      <c r="I401" s="3" t="str">
        <f t="shared" ca="1" si="2"/>
        <v>'Columbia University',</v>
      </c>
    </row>
    <row r="402" spans="1:9">
      <c r="A402" s="1" t="s">
        <v>400</v>
      </c>
      <c r="B402" s="3" t="str">
        <f ca="1">IFERROR(__xludf.DUMMYFUNCTION("SPLIT(A402,"","")"),"US")</f>
        <v>US</v>
      </c>
      <c r="C402" s="3" t="str">
        <f ca="1">IFERROR(__xludf.DUMMYFUNCTION("""COMPUTED_VALUE"""),"Columbus College of Art and Design")</f>
        <v>Columbus College of Art and Design</v>
      </c>
      <c r="D402" s="4" t="str">
        <f ca="1">IFERROR(__xludf.DUMMYFUNCTION("""COMPUTED_VALUE"""),"http://www.ccad.edu/")</f>
        <v>http://www.ccad.edu/</v>
      </c>
      <c r="G402" s="2" t="str">
        <f t="shared" ca="1" si="0"/>
        <v>Columbus College of Art and Design</v>
      </c>
      <c r="H402" s="5" t="str">
        <f t="shared" ca="1" si="1"/>
        <v>Columbus College of Art and Design</v>
      </c>
      <c r="I402" s="3" t="str">
        <f t="shared" ca="1" si="2"/>
        <v>'Columbus College of Art and Design',</v>
      </c>
    </row>
    <row r="403" spans="1:9">
      <c r="A403" s="1" t="s">
        <v>401</v>
      </c>
      <c r="B403" s="3" t="str">
        <f ca="1">IFERROR(__xludf.DUMMYFUNCTION("SPLIT(A403,"","")"),"US")</f>
        <v>US</v>
      </c>
      <c r="C403" s="3" t="str">
        <f ca="1">IFERROR(__xludf.DUMMYFUNCTION("""COMPUTED_VALUE"""),"Columbus State University")</f>
        <v>Columbus State University</v>
      </c>
      <c r="D403" s="4" t="str">
        <f ca="1">IFERROR(__xludf.DUMMYFUNCTION("""COMPUTED_VALUE"""),"http://www.colstate.edu/")</f>
        <v>http://www.colstate.edu/</v>
      </c>
      <c r="G403" s="2" t="str">
        <f t="shared" ca="1" si="0"/>
        <v>Columbus State University</v>
      </c>
      <c r="H403" s="5" t="str">
        <f t="shared" ca="1" si="1"/>
        <v>Columbus State University</v>
      </c>
      <c r="I403" s="3" t="str">
        <f t="shared" ca="1" si="2"/>
        <v>'Columbus State University',</v>
      </c>
    </row>
    <row r="404" spans="1:9">
      <c r="A404" s="1" t="s">
        <v>402</v>
      </c>
      <c r="B404" s="3" t="str">
        <f ca="1">IFERROR(__xludf.DUMMYFUNCTION("SPLIT(A404,"","")"),"US")</f>
        <v>US</v>
      </c>
      <c r="C404" s="3" t="str">
        <f ca="1">IFERROR(__xludf.DUMMYFUNCTION("""COMPUTED_VALUE"""),"Columbus University")</f>
        <v>Columbus University</v>
      </c>
      <c r="D404" s="4" t="str">
        <f ca="1">IFERROR(__xludf.DUMMYFUNCTION("""COMPUTED_VALUE"""),"http://www.columbusu.com/")</f>
        <v>http://www.columbusu.com/</v>
      </c>
      <c r="G404" s="2" t="str">
        <f t="shared" ca="1" si="0"/>
        <v>Columbus University</v>
      </c>
      <c r="H404" s="5" t="str">
        <f t="shared" ca="1" si="1"/>
        <v>Columbus University</v>
      </c>
      <c r="I404" s="3" t="str">
        <f t="shared" ca="1" si="2"/>
        <v>'Columbus University',</v>
      </c>
    </row>
    <row r="405" spans="1:9">
      <c r="A405" s="1" t="s">
        <v>403</v>
      </c>
      <c r="B405" s="3" t="str">
        <f ca="1">IFERROR(__xludf.DUMMYFUNCTION("SPLIT(A405,"","")"),"US")</f>
        <v>US</v>
      </c>
      <c r="C405" s="3" t="str">
        <f ca="1">IFERROR(__xludf.DUMMYFUNCTION("""COMPUTED_VALUE"""),"Community College of Denver")</f>
        <v>Community College of Denver</v>
      </c>
      <c r="D405" s="4" t="str">
        <f ca="1">IFERROR(__xludf.DUMMYFUNCTION("""COMPUTED_VALUE"""),"http://ccd.rightchoice.org/")</f>
        <v>http://ccd.rightchoice.org/</v>
      </c>
      <c r="G405" s="2" t="str">
        <f t="shared" ca="1" si="0"/>
        <v>Community College of Denver</v>
      </c>
      <c r="H405" s="5" t="str">
        <f t="shared" ca="1" si="1"/>
        <v>Community College of Denver</v>
      </c>
      <c r="I405" s="3" t="str">
        <f t="shared" ca="1" si="2"/>
        <v>'Community College of Denver',</v>
      </c>
    </row>
    <row r="406" spans="1:9">
      <c r="A406" s="1" t="s">
        <v>404</v>
      </c>
      <c r="B406" s="3" t="str">
        <f ca="1">IFERROR(__xludf.DUMMYFUNCTION("SPLIT(A406,"","")"),"US")</f>
        <v>US</v>
      </c>
      <c r="C406" s="3" t="str">
        <f ca="1">IFERROR(__xludf.DUMMYFUNCTION("""COMPUTED_VALUE"""),"Concord College")</f>
        <v>Concord College</v>
      </c>
      <c r="D406" s="4" t="str">
        <f ca="1">IFERROR(__xludf.DUMMYFUNCTION("""COMPUTED_VALUE"""),"http://www.concord.edu/")</f>
        <v>http://www.concord.edu/</v>
      </c>
      <c r="G406" s="2" t="str">
        <f t="shared" ca="1" si="0"/>
        <v>Concord College</v>
      </c>
      <c r="H406" s="5" t="str">
        <f t="shared" ca="1" si="1"/>
        <v>Concord College</v>
      </c>
      <c r="I406" s="3" t="str">
        <f t="shared" ca="1" si="2"/>
        <v>'Concord College',</v>
      </c>
    </row>
    <row r="407" spans="1:9">
      <c r="A407" s="1" t="s">
        <v>405</v>
      </c>
      <c r="B407" s="3" t="str">
        <f ca="1">IFERROR(__xludf.DUMMYFUNCTION("SPLIT(A407,"","")"),"US")</f>
        <v>US</v>
      </c>
      <c r="C407" s="3" t="str">
        <f ca="1">IFERROR(__xludf.DUMMYFUNCTION("""COMPUTED_VALUE"""),"""Concordia College")</f>
        <v>"Concordia College</v>
      </c>
      <c r="D407" s="3" t="str">
        <f ca="1">IFERROR(__xludf.DUMMYFUNCTION("""COMPUTED_VALUE""")," Ann Arbor""")</f>
        <v xml:space="preserve"> Ann Arbor"</v>
      </c>
      <c r="E407" s="4" t="str">
        <f ca="1">IFERROR(__xludf.DUMMYFUNCTION("""COMPUTED_VALUE"""),"http://www.ccaa.edu/")</f>
        <v>http://www.ccaa.edu/</v>
      </c>
      <c r="G407" s="2" t="str">
        <f t="shared" ca="1" si="0"/>
        <v>"Concordia College</v>
      </c>
      <c r="H407" s="5" t="str">
        <f t="shared" ca="1" si="1"/>
        <v>Concordia College</v>
      </c>
      <c r="I407" s="3" t="str">
        <f t="shared" ca="1" si="2"/>
        <v>'Concordia College',</v>
      </c>
    </row>
    <row r="408" spans="1:9">
      <c r="A408" s="1" t="s">
        <v>406</v>
      </c>
      <c r="B408" s="3" t="str">
        <f ca="1">IFERROR(__xludf.DUMMYFUNCTION("SPLIT(A408,"","")"),"US")</f>
        <v>US</v>
      </c>
      <c r="C408" s="3" t="str">
        <f ca="1">IFERROR(__xludf.DUMMYFUNCTION("""COMPUTED_VALUE"""),"""Concordia College")</f>
        <v>"Concordia College</v>
      </c>
      <c r="D408" s="3" t="str">
        <f ca="1">IFERROR(__xludf.DUMMYFUNCTION("""COMPUTED_VALUE""")," Bronxville""")</f>
        <v xml:space="preserve"> Bronxville"</v>
      </c>
      <c r="E408" s="4" t="str">
        <f ca="1">IFERROR(__xludf.DUMMYFUNCTION("""COMPUTED_VALUE"""),"http://www.concordia-ny.edu/")</f>
        <v>http://www.concordia-ny.edu/</v>
      </c>
      <c r="G408" s="2" t="str">
        <f t="shared" ca="1" si="0"/>
        <v>"Concordia College</v>
      </c>
      <c r="H408" s="5" t="str">
        <f t="shared" ca="1" si="1"/>
        <v>Concordia College</v>
      </c>
      <c r="I408" s="3" t="str">
        <f t="shared" ca="1" si="2"/>
        <v>'Concordia College',</v>
      </c>
    </row>
    <row r="409" spans="1:9">
      <c r="A409" s="1" t="s">
        <v>407</v>
      </c>
      <c r="B409" s="3" t="str">
        <f ca="1">IFERROR(__xludf.DUMMYFUNCTION("SPLIT(A409,"","")"),"US")</f>
        <v>US</v>
      </c>
      <c r="C409" s="3" t="str">
        <f ca="1">IFERROR(__xludf.DUMMYFUNCTION("""COMPUTED_VALUE"""),"""Concordia College")</f>
        <v>"Concordia College</v>
      </c>
      <c r="D409" s="3" t="str">
        <f ca="1">IFERROR(__xludf.DUMMYFUNCTION("""COMPUTED_VALUE""")," Moorhead""")</f>
        <v xml:space="preserve"> Moorhead"</v>
      </c>
      <c r="E409" s="4" t="str">
        <f ca="1">IFERROR(__xludf.DUMMYFUNCTION("""COMPUTED_VALUE"""),"http://www.cord.edu/")</f>
        <v>http://www.cord.edu/</v>
      </c>
      <c r="G409" s="2" t="str">
        <f t="shared" ca="1" si="0"/>
        <v>"Concordia College</v>
      </c>
      <c r="H409" s="5" t="str">
        <f t="shared" ca="1" si="1"/>
        <v>Concordia College</v>
      </c>
      <c r="I409" s="3" t="str">
        <f t="shared" ca="1" si="2"/>
        <v>'Concordia College',</v>
      </c>
    </row>
    <row r="410" spans="1:9">
      <c r="A410" s="1" t="s">
        <v>408</v>
      </c>
      <c r="B410" s="3" t="str">
        <f ca="1">IFERROR(__xludf.DUMMYFUNCTION("SPLIT(A410,"","")"),"US")</f>
        <v>US</v>
      </c>
      <c r="C410" s="3" t="str">
        <f ca="1">IFERROR(__xludf.DUMMYFUNCTION("""COMPUTED_VALUE"""),"""Concordia College")</f>
        <v>"Concordia College</v>
      </c>
      <c r="D410" s="3" t="str">
        <f ca="1">IFERROR(__xludf.DUMMYFUNCTION("""COMPUTED_VALUE""")," Selma""")</f>
        <v xml:space="preserve"> Selma"</v>
      </c>
      <c r="E410" s="4" t="str">
        <f ca="1">IFERROR(__xludf.DUMMYFUNCTION("""COMPUTED_VALUE"""),"http://higher-ed.lcms.org/selma.htm")</f>
        <v>http://higher-ed.lcms.org/selma.htm</v>
      </c>
      <c r="G410" s="2" t="str">
        <f t="shared" ca="1" si="0"/>
        <v>"Concordia College</v>
      </c>
      <c r="H410" s="5" t="str">
        <f t="shared" ca="1" si="1"/>
        <v>Concordia College</v>
      </c>
      <c r="I410" s="3" t="str">
        <f t="shared" ca="1" si="2"/>
        <v>'Concordia College',</v>
      </c>
    </row>
    <row r="411" spans="1:9">
      <c r="A411" s="1" t="s">
        <v>409</v>
      </c>
      <c r="B411" s="3" t="str">
        <f ca="1">IFERROR(__xludf.DUMMYFUNCTION("SPLIT(A411,"","")"),"US")</f>
        <v>US</v>
      </c>
      <c r="C411" s="3" t="str">
        <f ca="1">IFERROR(__xludf.DUMMYFUNCTION("""COMPUTED_VALUE"""),"""Concordia College")</f>
        <v>"Concordia College</v>
      </c>
      <c r="D411" s="3" t="str">
        <f ca="1">IFERROR(__xludf.DUMMYFUNCTION("""COMPUTED_VALUE""")," Seward""")</f>
        <v xml:space="preserve"> Seward"</v>
      </c>
      <c r="E411" s="4" t="str">
        <f ca="1">IFERROR(__xludf.DUMMYFUNCTION("""COMPUTED_VALUE"""),"http://www.cune.edu/")</f>
        <v>http://www.cune.edu/</v>
      </c>
      <c r="G411" s="2" t="str">
        <f t="shared" ca="1" si="0"/>
        <v>"Concordia College</v>
      </c>
      <c r="H411" s="5" t="str">
        <f t="shared" ca="1" si="1"/>
        <v>Concordia College</v>
      </c>
      <c r="I411" s="3" t="str">
        <f t="shared" ca="1" si="2"/>
        <v>'Concordia College',</v>
      </c>
    </row>
    <row r="412" spans="1:9">
      <c r="A412" s="1" t="s">
        <v>410</v>
      </c>
      <c r="B412" s="3" t="str">
        <f ca="1">IFERROR(__xludf.DUMMYFUNCTION("SPLIT(A412,"","")"),"US")</f>
        <v>US</v>
      </c>
      <c r="C412" s="3" t="str">
        <f ca="1">IFERROR(__xludf.DUMMYFUNCTION("""COMPUTED_VALUE"""),"""Concordia College")</f>
        <v>"Concordia College</v>
      </c>
      <c r="D412" s="3" t="str">
        <f ca="1">IFERROR(__xludf.DUMMYFUNCTION("""COMPUTED_VALUE""")," St. Paul""")</f>
        <v xml:space="preserve"> St. Paul"</v>
      </c>
      <c r="E412" s="4" t="str">
        <f ca="1">IFERROR(__xludf.DUMMYFUNCTION("""COMPUTED_VALUE"""),"http://www.csp.edu/")</f>
        <v>http://www.csp.edu/</v>
      </c>
      <c r="G412" s="2" t="str">
        <f t="shared" ca="1" si="0"/>
        <v>"Concordia College</v>
      </c>
      <c r="H412" s="5" t="str">
        <f t="shared" ca="1" si="1"/>
        <v>Concordia College</v>
      </c>
      <c r="I412" s="3" t="str">
        <f t="shared" ca="1" si="2"/>
        <v>'Concordia College',</v>
      </c>
    </row>
    <row r="413" spans="1:9">
      <c r="A413" s="1" t="s">
        <v>411</v>
      </c>
      <c r="B413" s="3" t="str">
        <f ca="1">IFERROR(__xludf.DUMMYFUNCTION("SPLIT(A413,"","")"),"US")</f>
        <v>US</v>
      </c>
      <c r="C413" s="3" t="str">
        <f ca="1">IFERROR(__xludf.DUMMYFUNCTION("""COMPUTED_VALUE"""),"""Concordia University")</f>
        <v>"Concordia University</v>
      </c>
      <c r="D413" s="3" t="str">
        <f ca="1">IFERROR(__xludf.DUMMYFUNCTION("""COMPUTED_VALUE""")," Austin""")</f>
        <v xml:space="preserve"> Austin"</v>
      </c>
      <c r="E413" s="4" t="str">
        <f ca="1">IFERROR(__xludf.DUMMYFUNCTION("""COMPUTED_VALUE"""),"http://www.concordia.edu/")</f>
        <v>http://www.concordia.edu/</v>
      </c>
      <c r="G413" s="2" t="str">
        <f t="shared" ca="1" si="0"/>
        <v>"Concordia University</v>
      </c>
      <c r="H413" s="5" t="str">
        <f t="shared" ca="1" si="1"/>
        <v>Concordia University</v>
      </c>
      <c r="I413" s="3" t="str">
        <f t="shared" ca="1" si="2"/>
        <v>'Concordia University',</v>
      </c>
    </row>
    <row r="414" spans="1:9">
      <c r="A414" s="1" t="s">
        <v>412</v>
      </c>
      <c r="B414" s="3" t="str">
        <f ca="1">IFERROR(__xludf.DUMMYFUNCTION("SPLIT(A414,"","")"),"US")</f>
        <v>US</v>
      </c>
      <c r="C414" s="3" t="str">
        <f ca="1">IFERROR(__xludf.DUMMYFUNCTION("""COMPUTED_VALUE"""),"""Concordia University")</f>
        <v>"Concordia University</v>
      </c>
      <c r="D414" s="3" t="str">
        <f ca="1">IFERROR(__xludf.DUMMYFUNCTION("""COMPUTED_VALUE""")," Irvine""")</f>
        <v xml:space="preserve"> Irvine"</v>
      </c>
      <c r="E414" s="4" t="str">
        <f ca="1">IFERROR(__xludf.DUMMYFUNCTION("""COMPUTED_VALUE"""),"http://www.cui.edu/")</f>
        <v>http://www.cui.edu/</v>
      </c>
      <c r="G414" s="2" t="str">
        <f t="shared" ca="1" si="0"/>
        <v>"Concordia University</v>
      </c>
      <c r="H414" s="5" t="str">
        <f t="shared" ca="1" si="1"/>
        <v>Concordia University</v>
      </c>
      <c r="I414" s="3" t="str">
        <f t="shared" ca="1" si="2"/>
        <v>'Concordia University',</v>
      </c>
    </row>
    <row r="415" spans="1:9">
      <c r="A415" s="1" t="s">
        <v>413</v>
      </c>
      <c r="B415" s="3" t="str">
        <f ca="1">IFERROR(__xludf.DUMMYFUNCTION("SPLIT(A415,"","")"),"US")</f>
        <v>US</v>
      </c>
      <c r="C415" s="3" t="str">
        <f ca="1">IFERROR(__xludf.DUMMYFUNCTION("""COMPUTED_VALUE"""),"""Concordia University")</f>
        <v>"Concordia University</v>
      </c>
      <c r="D415" s="3" t="str">
        <f ca="1">IFERROR(__xludf.DUMMYFUNCTION("""COMPUTED_VALUE""")," Mequon""")</f>
        <v xml:space="preserve"> Mequon"</v>
      </c>
      <c r="E415" s="4" t="str">
        <f ca="1">IFERROR(__xludf.DUMMYFUNCTION("""COMPUTED_VALUE"""),"http://www.cuw.edu/")</f>
        <v>http://www.cuw.edu/</v>
      </c>
      <c r="G415" s="2" t="str">
        <f t="shared" ca="1" si="0"/>
        <v>"Concordia University</v>
      </c>
      <c r="H415" s="5" t="str">
        <f t="shared" ca="1" si="1"/>
        <v>Concordia University</v>
      </c>
      <c r="I415" s="3" t="str">
        <f t="shared" ca="1" si="2"/>
        <v>'Concordia University',</v>
      </c>
    </row>
    <row r="416" spans="1:9">
      <c r="A416" s="1" t="s">
        <v>414</v>
      </c>
      <c r="B416" s="3" t="str">
        <f ca="1">IFERROR(__xludf.DUMMYFUNCTION("SPLIT(A416,"","")"),"US")</f>
        <v>US</v>
      </c>
      <c r="C416" s="3" t="str">
        <f ca="1">IFERROR(__xludf.DUMMYFUNCTION("""COMPUTED_VALUE"""),"""Concordia University")</f>
        <v>"Concordia University</v>
      </c>
      <c r="D416" s="3" t="str">
        <f ca="1">IFERROR(__xludf.DUMMYFUNCTION("""COMPUTED_VALUE""")," Portland""")</f>
        <v xml:space="preserve"> Portland"</v>
      </c>
      <c r="E416" s="4" t="str">
        <f ca="1">IFERROR(__xludf.DUMMYFUNCTION("""COMPUTED_VALUE"""),"http://www.cu-portland.edu/")</f>
        <v>http://www.cu-portland.edu/</v>
      </c>
      <c r="G416" s="2" t="str">
        <f t="shared" ca="1" si="0"/>
        <v>"Concordia University</v>
      </c>
      <c r="H416" s="5" t="str">
        <f t="shared" ca="1" si="1"/>
        <v>Concordia University</v>
      </c>
      <c r="I416" s="3" t="str">
        <f t="shared" ca="1" si="2"/>
        <v>'Concordia University',</v>
      </c>
    </row>
    <row r="417" spans="1:9">
      <c r="A417" s="1" t="s">
        <v>415</v>
      </c>
      <c r="B417" s="3" t="str">
        <f ca="1">IFERROR(__xludf.DUMMYFUNCTION("SPLIT(A417,"","")"),"US")</f>
        <v>US</v>
      </c>
      <c r="C417" s="3" t="str">
        <f ca="1">IFERROR(__xludf.DUMMYFUNCTION("""COMPUTED_VALUE"""),"""Concordia University")</f>
        <v>"Concordia University</v>
      </c>
      <c r="D417" s="3" t="str">
        <f ca="1">IFERROR(__xludf.DUMMYFUNCTION("""COMPUTED_VALUE""")," River Forest""")</f>
        <v xml:space="preserve"> River Forest"</v>
      </c>
      <c r="E417" s="4" t="str">
        <f ca="1">IFERROR(__xludf.DUMMYFUNCTION("""COMPUTED_VALUE"""),"http://www.curf.edu/")</f>
        <v>http://www.curf.edu/</v>
      </c>
      <c r="G417" s="2" t="str">
        <f t="shared" ca="1" si="0"/>
        <v>"Concordia University</v>
      </c>
      <c r="H417" s="5" t="str">
        <f t="shared" ca="1" si="1"/>
        <v>Concordia University</v>
      </c>
      <c r="I417" s="3" t="str">
        <f t="shared" ca="1" si="2"/>
        <v>'Concordia University',</v>
      </c>
    </row>
    <row r="418" spans="1:9">
      <c r="A418" s="1" t="s">
        <v>416</v>
      </c>
      <c r="B418" s="3" t="str">
        <f ca="1">IFERROR(__xludf.DUMMYFUNCTION("SPLIT(A418,"","")"),"US")</f>
        <v>US</v>
      </c>
      <c r="C418" s="3" t="str">
        <f ca="1">IFERROR(__xludf.DUMMYFUNCTION("""COMPUTED_VALUE"""),"Connecticut College")</f>
        <v>Connecticut College</v>
      </c>
      <c r="D418" s="4" t="str">
        <f ca="1">IFERROR(__xludf.DUMMYFUNCTION("""COMPUTED_VALUE"""),"http://www.conncoll.edu/")</f>
        <v>http://www.conncoll.edu/</v>
      </c>
      <c r="G418" s="2" t="str">
        <f t="shared" ca="1" si="0"/>
        <v>Connecticut College</v>
      </c>
      <c r="H418" s="5" t="str">
        <f t="shared" ca="1" si="1"/>
        <v>Connecticut College</v>
      </c>
      <c r="I418" s="3" t="str">
        <f t="shared" ca="1" si="2"/>
        <v>'Connecticut College',</v>
      </c>
    </row>
    <row r="419" spans="1:9">
      <c r="A419" s="1" t="s">
        <v>417</v>
      </c>
      <c r="B419" s="3" t="str">
        <f ca="1">IFERROR(__xludf.DUMMYFUNCTION("SPLIT(A419,"","")"),"US")</f>
        <v>US</v>
      </c>
      <c r="C419" s="3" t="str">
        <f ca="1">IFERROR(__xludf.DUMMYFUNCTION("""COMPUTED_VALUE"""),"Converse College")</f>
        <v>Converse College</v>
      </c>
      <c r="D419" s="4" t="str">
        <f ca="1">IFERROR(__xludf.DUMMYFUNCTION("""COMPUTED_VALUE"""),"http://www.converse.edu/")</f>
        <v>http://www.converse.edu/</v>
      </c>
      <c r="G419" s="2" t="str">
        <f t="shared" ca="1" si="0"/>
        <v>Converse College</v>
      </c>
      <c r="H419" s="5" t="str">
        <f t="shared" ca="1" si="1"/>
        <v>Converse College</v>
      </c>
      <c r="I419" s="3" t="str">
        <f t="shared" ca="1" si="2"/>
        <v>'Converse College',</v>
      </c>
    </row>
    <row r="420" spans="1:9">
      <c r="A420" s="1" t="s">
        <v>418</v>
      </c>
      <c r="B420" s="3" t="str">
        <f ca="1">IFERROR(__xludf.DUMMYFUNCTION("SPLIT(A420,"","")"),"US")</f>
        <v>US</v>
      </c>
      <c r="C420" s="3" t="str">
        <f ca="1">IFERROR(__xludf.DUMMYFUNCTION("""COMPUTED_VALUE"""),"Conway School of Landscape Design")</f>
        <v>Conway School of Landscape Design</v>
      </c>
      <c r="D420" s="4" t="str">
        <f ca="1">IFERROR(__xludf.DUMMYFUNCTION("""COMPUTED_VALUE"""),"http://www.csld.edu/")</f>
        <v>http://www.csld.edu/</v>
      </c>
      <c r="G420" s="2" t="str">
        <f t="shared" ca="1" si="0"/>
        <v>Conway School of Landscape Design</v>
      </c>
      <c r="H420" s="5" t="str">
        <f t="shared" ca="1" si="1"/>
        <v>Conway School of Landscape Design</v>
      </c>
      <c r="I420" s="3" t="str">
        <f t="shared" ca="1" si="2"/>
        <v>'Conway School of Landscape Design',</v>
      </c>
    </row>
    <row r="421" spans="1:9">
      <c r="A421" s="1" t="s">
        <v>419</v>
      </c>
      <c r="B421" s="3" t="str">
        <f ca="1">IFERROR(__xludf.DUMMYFUNCTION("SPLIT(A421,"","")"),"US")</f>
        <v>US</v>
      </c>
      <c r="C421" s="3" t="str">
        <f ca="1">IFERROR(__xludf.DUMMYFUNCTION("""COMPUTED_VALUE"""),"Coppin State College")</f>
        <v>Coppin State College</v>
      </c>
      <c r="D421" s="4" t="str">
        <f ca="1">IFERROR(__xludf.DUMMYFUNCTION("""COMPUTED_VALUE"""),"http://www.coppin.edu/")</f>
        <v>http://www.coppin.edu/</v>
      </c>
      <c r="G421" s="2" t="str">
        <f t="shared" ca="1" si="0"/>
        <v>Coppin State College</v>
      </c>
      <c r="H421" s="5" t="str">
        <f t="shared" ca="1" si="1"/>
        <v>Coppin State College</v>
      </c>
      <c r="I421" s="3" t="str">
        <f t="shared" ca="1" si="2"/>
        <v>'Coppin State College',</v>
      </c>
    </row>
    <row r="422" spans="1:9">
      <c r="A422" s="1" t="s">
        <v>420</v>
      </c>
      <c r="B422" s="3" t="str">
        <f ca="1">IFERROR(__xludf.DUMMYFUNCTION("SPLIT(A422,"","")"),"US")</f>
        <v>US</v>
      </c>
      <c r="C422" s="3" t="str">
        <f ca="1">IFERROR(__xludf.DUMMYFUNCTION("""COMPUTED_VALUE"""),"Cornell College")</f>
        <v>Cornell College</v>
      </c>
      <c r="D422" s="4" t="str">
        <f ca="1">IFERROR(__xludf.DUMMYFUNCTION("""COMPUTED_VALUE"""),"http://www.cornell-iowa.edu/")</f>
        <v>http://www.cornell-iowa.edu/</v>
      </c>
      <c r="G422" s="2" t="str">
        <f t="shared" ca="1" si="0"/>
        <v>Cornell College</v>
      </c>
      <c r="H422" s="5" t="str">
        <f t="shared" ca="1" si="1"/>
        <v>Cornell College</v>
      </c>
      <c r="I422" s="3" t="str">
        <f t="shared" ca="1" si="2"/>
        <v>'Cornell College',</v>
      </c>
    </row>
    <row r="423" spans="1:9">
      <c r="A423" s="1" t="s">
        <v>421</v>
      </c>
      <c r="B423" s="3" t="str">
        <f ca="1">IFERROR(__xludf.DUMMYFUNCTION("SPLIT(A423,"","")"),"US")</f>
        <v>US</v>
      </c>
      <c r="C423" s="3" t="str">
        <f ca="1">IFERROR(__xludf.DUMMYFUNCTION("""COMPUTED_VALUE"""),"Cornell University")</f>
        <v>Cornell University</v>
      </c>
      <c r="D423" s="4" t="str">
        <f ca="1">IFERROR(__xludf.DUMMYFUNCTION("""COMPUTED_VALUE"""),"http://www.cornell.edu/")</f>
        <v>http://www.cornell.edu/</v>
      </c>
      <c r="G423" s="2" t="str">
        <f t="shared" ca="1" si="0"/>
        <v>Cornell University</v>
      </c>
      <c r="H423" s="5" t="str">
        <f t="shared" ca="1" si="1"/>
        <v>Cornell University</v>
      </c>
      <c r="I423" s="3" t="str">
        <f t="shared" ca="1" si="2"/>
        <v>'Cornell University',</v>
      </c>
    </row>
    <row r="424" spans="1:9">
      <c r="A424" s="1" t="s">
        <v>422</v>
      </c>
      <c r="B424" s="3" t="str">
        <f ca="1">IFERROR(__xludf.DUMMYFUNCTION("SPLIT(A424,"","")"),"US")</f>
        <v>US</v>
      </c>
      <c r="C424" s="3" t="str">
        <f ca="1">IFERROR(__xludf.DUMMYFUNCTION("""COMPUTED_VALUE"""),"Cornish College of the Arts")</f>
        <v>Cornish College of the Arts</v>
      </c>
      <c r="D424" s="4" t="str">
        <f ca="1">IFERROR(__xludf.DUMMYFUNCTION("""COMPUTED_VALUE"""),"http://www.cornish.edu/")</f>
        <v>http://www.cornish.edu/</v>
      </c>
      <c r="G424" s="2" t="str">
        <f t="shared" ca="1" si="0"/>
        <v>Cornish College of the Arts</v>
      </c>
      <c r="H424" s="5" t="str">
        <f t="shared" ca="1" si="1"/>
        <v>Cornish College of the Arts</v>
      </c>
      <c r="I424" s="3" t="str">
        <f t="shared" ca="1" si="2"/>
        <v>'Cornish College of the Arts',</v>
      </c>
    </row>
    <row r="425" spans="1:9">
      <c r="A425" s="1" t="s">
        <v>423</v>
      </c>
      <c r="B425" s="3" t="str">
        <f ca="1">IFERROR(__xludf.DUMMYFUNCTION("SPLIT(A425,"","")"),"US")</f>
        <v>US</v>
      </c>
      <c r="C425" s="3" t="str">
        <f ca="1">IFERROR(__xludf.DUMMYFUNCTION("""COMPUTED_VALUE"""),"Cosmopolitan University")</f>
        <v>Cosmopolitan University</v>
      </c>
      <c r="D425" s="4" t="str">
        <f ca="1">IFERROR(__xludf.DUMMYFUNCTION("""COMPUTED_VALUE"""),"http://www.cosmoedu.net/")</f>
        <v>http://www.cosmoedu.net/</v>
      </c>
      <c r="G425" s="2" t="str">
        <f t="shared" ca="1" si="0"/>
        <v>Cosmopolitan University</v>
      </c>
      <c r="H425" s="5" t="str">
        <f t="shared" ca="1" si="1"/>
        <v>Cosmopolitan University</v>
      </c>
      <c r="I425" s="3" t="str">
        <f t="shared" ca="1" si="2"/>
        <v>'Cosmopolitan University',</v>
      </c>
    </row>
    <row r="426" spans="1:9">
      <c r="A426" s="1" t="s">
        <v>424</v>
      </c>
      <c r="B426" s="3" t="str">
        <f ca="1">IFERROR(__xludf.DUMMYFUNCTION("SPLIT(A426,"","")"),"US")</f>
        <v>US</v>
      </c>
      <c r="C426" s="3" t="str">
        <f ca="1">IFERROR(__xludf.DUMMYFUNCTION("""COMPUTED_VALUE"""),"Covenant College")</f>
        <v>Covenant College</v>
      </c>
      <c r="D426" s="4" t="str">
        <f ca="1">IFERROR(__xludf.DUMMYFUNCTION("""COMPUTED_VALUE"""),"http://www.covenant.edu/")</f>
        <v>http://www.covenant.edu/</v>
      </c>
      <c r="G426" s="2" t="str">
        <f t="shared" ca="1" si="0"/>
        <v>Covenant College</v>
      </c>
      <c r="H426" s="5" t="str">
        <f t="shared" ca="1" si="1"/>
        <v>Covenant College</v>
      </c>
      <c r="I426" s="3" t="str">
        <f t="shared" ca="1" si="2"/>
        <v>'Covenant College',</v>
      </c>
    </row>
    <row r="427" spans="1:9">
      <c r="A427" s="1" t="s">
        <v>425</v>
      </c>
      <c r="B427" s="3" t="str">
        <f ca="1">IFERROR(__xludf.DUMMYFUNCTION("SPLIT(A427,"","")"),"US")</f>
        <v>US</v>
      </c>
      <c r="C427" s="3" t="str">
        <f ca="1">IFERROR(__xludf.DUMMYFUNCTION("""COMPUTED_VALUE"""),"Cranbrook Academy of Art")</f>
        <v>Cranbrook Academy of Art</v>
      </c>
      <c r="D427" s="4" t="str">
        <f ca="1">IFERROR(__xludf.DUMMYFUNCTION("""COMPUTED_VALUE"""),"http://www.cranbrookart.edu/")</f>
        <v>http://www.cranbrookart.edu/</v>
      </c>
      <c r="G427" s="2" t="str">
        <f t="shared" ca="1" si="0"/>
        <v>Cranbrook Academy of Art</v>
      </c>
      <c r="H427" s="5" t="str">
        <f t="shared" ca="1" si="1"/>
        <v>Cranbrook Academy of Art</v>
      </c>
      <c r="I427" s="3" t="str">
        <f t="shared" ca="1" si="2"/>
        <v>'Cranbrook Academy of Art',</v>
      </c>
    </row>
    <row r="428" spans="1:9">
      <c r="A428" s="1" t="s">
        <v>426</v>
      </c>
      <c r="B428" s="3" t="str">
        <f ca="1">IFERROR(__xludf.DUMMYFUNCTION("SPLIT(A428,"","")"),"US")</f>
        <v>US</v>
      </c>
      <c r="C428" s="3" t="str">
        <f ca="1">IFERROR(__xludf.DUMMYFUNCTION("""COMPUTED_VALUE"""),"Creighton University")</f>
        <v>Creighton University</v>
      </c>
      <c r="D428" s="4" t="str">
        <f ca="1">IFERROR(__xludf.DUMMYFUNCTION("""COMPUTED_VALUE"""),"http://www.creighton.edu/")</f>
        <v>http://www.creighton.edu/</v>
      </c>
      <c r="G428" s="2" t="str">
        <f t="shared" ca="1" si="0"/>
        <v>Creighton University</v>
      </c>
      <c r="H428" s="5" t="str">
        <f t="shared" ca="1" si="1"/>
        <v>Creighton University</v>
      </c>
      <c r="I428" s="3" t="str">
        <f t="shared" ca="1" si="2"/>
        <v>'Creighton University',</v>
      </c>
    </row>
    <row r="429" spans="1:9">
      <c r="A429" s="1" t="s">
        <v>427</v>
      </c>
      <c r="B429" s="3" t="str">
        <f ca="1">IFERROR(__xludf.DUMMYFUNCTION("SPLIT(A429,"","")"),"US")</f>
        <v>US</v>
      </c>
      <c r="C429" s="3" t="str">
        <f ca="1">IFERROR(__xludf.DUMMYFUNCTION("""COMPUTED_VALUE"""),"Crichton College")</f>
        <v>Crichton College</v>
      </c>
      <c r="D429" s="4" t="str">
        <f ca="1">IFERROR(__xludf.DUMMYFUNCTION("""COMPUTED_VALUE"""),"http://www.crichton.edu/")</f>
        <v>http://www.crichton.edu/</v>
      </c>
      <c r="G429" s="2" t="str">
        <f t="shared" ca="1" si="0"/>
        <v>Crichton College</v>
      </c>
      <c r="H429" s="5" t="str">
        <f t="shared" ca="1" si="1"/>
        <v>Crichton College</v>
      </c>
      <c r="I429" s="3" t="str">
        <f t="shared" ca="1" si="2"/>
        <v>'Crichton College',</v>
      </c>
    </row>
    <row r="430" spans="1:9">
      <c r="A430" s="1" t="s">
        <v>428</v>
      </c>
      <c r="B430" s="3" t="str">
        <f ca="1">IFERROR(__xludf.DUMMYFUNCTION("SPLIT(A430,"","")"),"US")</f>
        <v>US</v>
      </c>
      <c r="C430" s="3" t="str">
        <f ca="1">IFERROR(__xludf.DUMMYFUNCTION("""COMPUTED_VALUE"""),"Crown College")</f>
        <v>Crown College</v>
      </c>
      <c r="D430" s="4" t="str">
        <f ca="1">IFERROR(__xludf.DUMMYFUNCTION("""COMPUTED_VALUE"""),"http://www.crown.edu/")</f>
        <v>http://www.crown.edu/</v>
      </c>
      <c r="G430" s="2" t="str">
        <f t="shared" ca="1" si="0"/>
        <v>Crown College</v>
      </c>
      <c r="H430" s="5" t="str">
        <f t="shared" ca="1" si="1"/>
        <v>Crown College</v>
      </c>
      <c r="I430" s="3" t="str">
        <f t="shared" ca="1" si="2"/>
        <v>'Crown College',</v>
      </c>
    </row>
    <row r="431" spans="1:9">
      <c r="A431" s="1" t="s">
        <v>429</v>
      </c>
      <c r="B431" s="3" t="str">
        <f ca="1">IFERROR(__xludf.DUMMYFUNCTION("SPLIT(A431,"","")"),"US")</f>
        <v>US</v>
      </c>
      <c r="C431" s="3" t="str">
        <f ca="1">IFERROR(__xludf.DUMMYFUNCTION("""COMPUTED_VALUE"""),"Culver-Stockton College")</f>
        <v>Culver-Stockton College</v>
      </c>
      <c r="D431" s="4" t="str">
        <f ca="1">IFERROR(__xludf.DUMMYFUNCTION("""COMPUTED_VALUE"""),"http://www.culver.edu/")</f>
        <v>http://www.culver.edu/</v>
      </c>
      <c r="G431" s="2" t="str">
        <f t="shared" ca="1" si="0"/>
        <v>Culver-Stockton College</v>
      </c>
      <c r="H431" s="5" t="str">
        <f t="shared" ca="1" si="1"/>
        <v>Culver-Stockton College</v>
      </c>
      <c r="I431" s="3" t="str">
        <f t="shared" ca="1" si="2"/>
        <v>'Culver-Stockton College',</v>
      </c>
    </row>
    <row r="432" spans="1:9">
      <c r="A432" s="1" t="s">
        <v>430</v>
      </c>
      <c r="B432" s="3" t="str">
        <f ca="1">IFERROR(__xludf.DUMMYFUNCTION("SPLIT(A432,"","")"),"US")</f>
        <v>US</v>
      </c>
      <c r="C432" s="3" t="str">
        <f ca="1">IFERROR(__xludf.DUMMYFUNCTION("""COMPUTED_VALUE"""),"Cumberland College")</f>
        <v>Cumberland College</v>
      </c>
      <c r="D432" s="4" t="str">
        <f ca="1">IFERROR(__xludf.DUMMYFUNCTION("""COMPUTED_VALUE"""),"http://www.cumber.edu/")</f>
        <v>http://www.cumber.edu/</v>
      </c>
      <c r="G432" s="2" t="str">
        <f t="shared" ca="1" si="0"/>
        <v>Cumberland College</v>
      </c>
      <c r="H432" s="5" t="str">
        <f t="shared" ca="1" si="1"/>
        <v>Cumberland College</v>
      </c>
      <c r="I432" s="3" t="str">
        <f t="shared" ca="1" si="2"/>
        <v>'Cumberland College',</v>
      </c>
    </row>
    <row r="433" spans="1:9">
      <c r="A433" s="1" t="s">
        <v>431</v>
      </c>
      <c r="B433" s="3" t="str">
        <f ca="1">IFERROR(__xludf.DUMMYFUNCTION("SPLIT(A433,"","")"),"US")</f>
        <v>US</v>
      </c>
      <c r="C433" s="3" t="str">
        <f ca="1">IFERROR(__xludf.DUMMYFUNCTION("""COMPUTED_VALUE"""),"Cumberland University")</f>
        <v>Cumberland University</v>
      </c>
      <c r="D433" s="4" t="str">
        <f ca="1">IFERROR(__xludf.DUMMYFUNCTION("""COMPUTED_VALUE"""),"http://www.cumberland.edu/")</f>
        <v>http://www.cumberland.edu/</v>
      </c>
      <c r="G433" s="2" t="str">
        <f t="shared" ca="1" si="0"/>
        <v>Cumberland University</v>
      </c>
      <c r="H433" s="5" t="str">
        <f t="shared" ca="1" si="1"/>
        <v>Cumberland University</v>
      </c>
      <c r="I433" s="3" t="str">
        <f t="shared" ca="1" si="2"/>
        <v>'Cumberland University',</v>
      </c>
    </row>
    <row r="434" spans="1:9">
      <c r="A434" s="1" t="s">
        <v>432</v>
      </c>
      <c r="B434" s="3" t="str">
        <f ca="1">IFERROR(__xludf.DUMMYFUNCTION("SPLIT(A434,"","")"),"US")</f>
        <v>US</v>
      </c>
      <c r="C434" s="3" t="str">
        <f ca="1">IFERROR(__xludf.DUMMYFUNCTION("""COMPUTED_VALUE"""),"Curry College")</f>
        <v>Curry College</v>
      </c>
      <c r="D434" s="4" t="str">
        <f ca="1">IFERROR(__xludf.DUMMYFUNCTION("""COMPUTED_VALUE"""),"http://www.curry.edu:8080/")</f>
        <v>http://www.curry.edu:8080/</v>
      </c>
      <c r="G434" s="2" t="str">
        <f t="shared" ca="1" si="0"/>
        <v>Curry College</v>
      </c>
      <c r="H434" s="5" t="str">
        <f t="shared" ca="1" si="1"/>
        <v>Curry College</v>
      </c>
      <c r="I434" s="3" t="str">
        <f t="shared" ca="1" si="2"/>
        <v>'Curry College',</v>
      </c>
    </row>
    <row r="435" spans="1:9">
      <c r="A435" s="1" t="s">
        <v>433</v>
      </c>
      <c r="B435" s="3" t="str">
        <f ca="1">IFERROR(__xludf.DUMMYFUNCTION("SPLIT(A435,"","")"),"US")</f>
        <v>US</v>
      </c>
      <c r="C435" s="3" t="str">
        <f ca="1">IFERROR(__xludf.DUMMYFUNCTION("""COMPUTED_VALUE"""),"Daemen College")</f>
        <v>Daemen College</v>
      </c>
      <c r="D435" s="4" t="str">
        <f ca="1">IFERROR(__xludf.DUMMYFUNCTION("""COMPUTED_VALUE"""),"http://www.daemen.edu/")</f>
        <v>http://www.daemen.edu/</v>
      </c>
      <c r="G435" s="2" t="str">
        <f t="shared" ca="1" si="0"/>
        <v>Daemen College</v>
      </c>
      <c r="H435" s="5" t="str">
        <f t="shared" ca="1" si="1"/>
        <v>Daemen College</v>
      </c>
      <c r="I435" s="3" t="str">
        <f t="shared" ca="1" si="2"/>
        <v>'Daemen College',</v>
      </c>
    </row>
    <row r="436" spans="1:9">
      <c r="A436" s="1" t="s">
        <v>434</v>
      </c>
      <c r="B436" s="3" t="str">
        <f ca="1">IFERROR(__xludf.DUMMYFUNCTION("SPLIT(A436,"","")"),"US")</f>
        <v>US</v>
      </c>
      <c r="C436" s="3" t="str">
        <f ca="1">IFERROR(__xludf.DUMMYFUNCTION("""COMPUTED_VALUE"""),"Dakota State University")</f>
        <v>Dakota State University</v>
      </c>
      <c r="D436" s="4" t="str">
        <f ca="1">IFERROR(__xludf.DUMMYFUNCTION("""COMPUTED_VALUE"""),"http://www.dsu.edu/")</f>
        <v>http://www.dsu.edu/</v>
      </c>
      <c r="G436" s="2" t="str">
        <f t="shared" ca="1" si="0"/>
        <v>Dakota State University</v>
      </c>
      <c r="H436" s="5" t="str">
        <f t="shared" ca="1" si="1"/>
        <v>Dakota State University</v>
      </c>
      <c r="I436" s="3" t="str">
        <f t="shared" ca="1" si="2"/>
        <v>'Dakota State University',</v>
      </c>
    </row>
    <row r="437" spans="1:9">
      <c r="A437" s="1" t="s">
        <v>435</v>
      </c>
      <c r="B437" s="3" t="str">
        <f ca="1">IFERROR(__xludf.DUMMYFUNCTION("SPLIT(A437,"","")"),"US")</f>
        <v>US</v>
      </c>
      <c r="C437" s="3" t="str">
        <f ca="1">IFERROR(__xludf.DUMMYFUNCTION("""COMPUTED_VALUE"""),"Dakota Wesleyan University")</f>
        <v>Dakota Wesleyan University</v>
      </c>
      <c r="D437" s="4" t="str">
        <f ca="1">IFERROR(__xludf.DUMMYFUNCTION("""COMPUTED_VALUE"""),"http://www.dwu.edu/")</f>
        <v>http://www.dwu.edu/</v>
      </c>
      <c r="G437" s="2" t="str">
        <f t="shared" ca="1" si="0"/>
        <v>Dakota Wesleyan University</v>
      </c>
      <c r="H437" s="5" t="str">
        <f t="shared" ca="1" si="1"/>
        <v>Dakota Wesleyan University</v>
      </c>
      <c r="I437" s="3" t="str">
        <f t="shared" ca="1" si="2"/>
        <v>'Dakota Wesleyan University',</v>
      </c>
    </row>
    <row r="438" spans="1:9">
      <c r="A438" s="1" t="s">
        <v>436</v>
      </c>
      <c r="B438" s="3" t="str">
        <f ca="1">IFERROR(__xludf.DUMMYFUNCTION("SPLIT(A438,"","")"),"US")</f>
        <v>US</v>
      </c>
      <c r="C438" s="3" t="str">
        <f ca="1">IFERROR(__xludf.DUMMYFUNCTION("""COMPUTED_VALUE"""),"Dallas Baptist University")</f>
        <v>Dallas Baptist University</v>
      </c>
      <c r="D438" s="4" t="str">
        <f ca="1">IFERROR(__xludf.DUMMYFUNCTION("""COMPUTED_VALUE"""),"http://www.dbu.edu/")</f>
        <v>http://www.dbu.edu/</v>
      </c>
      <c r="G438" s="2" t="str">
        <f t="shared" ca="1" si="0"/>
        <v>Dallas Baptist University</v>
      </c>
      <c r="H438" s="5" t="str">
        <f t="shared" ca="1" si="1"/>
        <v>Dallas Baptist University</v>
      </c>
      <c r="I438" s="3" t="str">
        <f t="shared" ca="1" si="2"/>
        <v>'Dallas Baptist University',</v>
      </c>
    </row>
    <row r="439" spans="1:9">
      <c r="A439" s="1" t="s">
        <v>437</v>
      </c>
      <c r="B439" s="3" t="str">
        <f ca="1">IFERROR(__xludf.DUMMYFUNCTION("SPLIT(A439,"","")"),"US")</f>
        <v>US</v>
      </c>
      <c r="C439" s="3" t="str">
        <f ca="1">IFERROR(__xludf.DUMMYFUNCTION("""COMPUTED_VALUE"""),"Dallas Christian College")</f>
        <v>Dallas Christian College</v>
      </c>
      <c r="D439" s="4" t="str">
        <f ca="1">IFERROR(__xludf.DUMMYFUNCTION("""COMPUTED_VALUE"""),"http://www.dallas.edu/")</f>
        <v>http://www.dallas.edu/</v>
      </c>
      <c r="G439" s="2" t="str">
        <f t="shared" ca="1" si="0"/>
        <v>Dallas Christian College</v>
      </c>
      <c r="H439" s="5" t="str">
        <f t="shared" ca="1" si="1"/>
        <v>Dallas Christian College</v>
      </c>
      <c r="I439" s="3" t="str">
        <f t="shared" ca="1" si="2"/>
        <v>'Dallas Christian College',</v>
      </c>
    </row>
    <row r="440" spans="1:9">
      <c r="A440" s="1" t="s">
        <v>438</v>
      </c>
      <c r="B440" s="3" t="str">
        <f ca="1">IFERROR(__xludf.DUMMYFUNCTION("SPLIT(A440,"","")"),"US")</f>
        <v>US</v>
      </c>
      <c r="C440" s="3" t="str">
        <f ca="1">IFERROR(__xludf.DUMMYFUNCTION("""COMPUTED_VALUE"""),"Dana College")</f>
        <v>Dana College</v>
      </c>
      <c r="D440" s="4" t="str">
        <f ca="1">IFERROR(__xludf.DUMMYFUNCTION("""COMPUTED_VALUE"""),"http://www.dana.edu/")</f>
        <v>http://www.dana.edu/</v>
      </c>
      <c r="G440" s="2" t="str">
        <f t="shared" ca="1" si="0"/>
        <v>Dana College</v>
      </c>
      <c r="H440" s="5" t="str">
        <f t="shared" ca="1" si="1"/>
        <v>Dana College</v>
      </c>
      <c r="I440" s="3" t="str">
        <f t="shared" ca="1" si="2"/>
        <v>'Dana College',</v>
      </c>
    </row>
    <row r="441" spans="1:9">
      <c r="A441" s="1" t="s">
        <v>439</v>
      </c>
      <c r="B441" s="3" t="str">
        <f ca="1">IFERROR(__xludf.DUMMYFUNCTION("SPLIT(A441,"","")"),"US")</f>
        <v>US</v>
      </c>
      <c r="C441" s="3" t="str">
        <f ca="1">IFERROR(__xludf.DUMMYFUNCTION("""COMPUTED_VALUE"""),"Daniel Webster College")</f>
        <v>Daniel Webster College</v>
      </c>
      <c r="D441" s="4" t="str">
        <f ca="1">IFERROR(__xludf.DUMMYFUNCTION("""COMPUTED_VALUE"""),"http://www.dwc.edu/")</f>
        <v>http://www.dwc.edu/</v>
      </c>
      <c r="G441" s="2" t="str">
        <f t="shared" ca="1" si="0"/>
        <v>Daniel Webster College</v>
      </c>
      <c r="H441" s="5" t="str">
        <f t="shared" ca="1" si="1"/>
        <v>Daniel Webster College</v>
      </c>
      <c r="I441" s="3" t="str">
        <f t="shared" ca="1" si="2"/>
        <v>'Daniel Webster College',</v>
      </c>
    </row>
    <row r="442" spans="1:9">
      <c r="A442" s="1" t="s">
        <v>440</v>
      </c>
      <c r="B442" s="3" t="str">
        <f ca="1">IFERROR(__xludf.DUMMYFUNCTION("SPLIT(A442,"","")"),"US")</f>
        <v>US</v>
      </c>
      <c r="C442" s="3" t="str">
        <f ca="1">IFERROR(__xludf.DUMMYFUNCTION("""COMPUTED_VALUE"""),"Danville Area Community College")</f>
        <v>Danville Area Community College</v>
      </c>
      <c r="D442" s="4" t="str">
        <f ca="1">IFERROR(__xludf.DUMMYFUNCTION("""COMPUTED_VALUE"""),"http://www.dacc.cc.il.us/")</f>
        <v>http://www.dacc.cc.il.us/</v>
      </c>
      <c r="G442" s="2" t="str">
        <f t="shared" ca="1" si="0"/>
        <v>Danville Area Community College</v>
      </c>
      <c r="H442" s="5" t="str">
        <f t="shared" ca="1" si="1"/>
        <v>Danville Area Community College</v>
      </c>
      <c r="I442" s="3" t="str">
        <f t="shared" ca="1" si="2"/>
        <v>'Danville Area Community College',</v>
      </c>
    </row>
    <row r="443" spans="1:9">
      <c r="A443" s="1" t="s">
        <v>441</v>
      </c>
      <c r="B443" s="3" t="str">
        <f ca="1">IFERROR(__xludf.DUMMYFUNCTION("SPLIT(A443,"","")"),"US")</f>
        <v>US</v>
      </c>
      <c r="C443" s="3" t="str">
        <f ca="1">IFERROR(__xludf.DUMMYFUNCTION("""COMPUTED_VALUE"""),"Dartmouth College")</f>
        <v>Dartmouth College</v>
      </c>
      <c r="D443" s="4" t="str">
        <f ca="1">IFERROR(__xludf.DUMMYFUNCTION("""COMPUTED_VALUE"""),"http://www.dartmouth.edu/")</f>
        <v>http://www.dartmouth.edu/</v>
      </c>
      <c r="G443" s="2" t="str">
        <f t="shared" ca="1" si="0"/>
        <v>Dartmouth College</v>
      </c>
      <c r="H443" s="5" t="str">
        <f t="shared" ca="1" si="1"/>
        <v>Dartmouth College</v>
      </c>
      <c r="I443" s="3" t="str">
        <f t="shared" ca="1" si="2"/>
        <v>'Dartmouth College',</v>
      </c>
    </row>
    <row r="444" spans="1:9">
      <c r="A444" s="1" t="s">
        <v>442</v>
      </c>
      <c r="B444" s="3" t="str">
        <f ca="1">IFERROR(__xludf.DUMMYFUNCTION("SPLIT(A444,"","")"),"US")</f>
        <v>US</v>
      </c>
      <c r="C444" s="3" t="str">
        <f ca="1">IFERROR(__xludf.DUMMYFUNCTION("""COMPUTED_VALUE"""),"Darton College")</f>
        <v>Darton College</v>
      </c>
      <c r="D444" s="4" t="str">
        <f ca="1">IFERROR(__xludf.DUMMYFUNCTION("""COMPUTED_VALUE"""),"http://www.darton.edu/")</f>
        <v>http://www.darton.edu/</v>
      </c>
      <c r="G444" s="2" t="str">
        <f t="shared" ca="1" si="0"/>
        <v>Darton College</v>
      </c>
      <c r="H444" s="5" t="str">
        <f t="shared" ca="1" si="1"/>
        <v>Darton College</v>
      </c>
      <c r="I444" s="3" t="str">
        <f t="shared" ca="1" si="2"/>
        <v>'Darton College',</v>
      </c>
    </row>
    <row r="445" spans="1:9">
      <c r="A445" s="1" t="s">
        <v>443</v>
      </c>
      <c r="B445" s="3" t="str">
        <f ca="1">IFERROR(__xludf.DUMMYFUNCTION("SPLIT(A445,"","")"),"US")</f>
        <v>US</v>
      </c>
      <c r="C445" s="3" t="str">
        <f ca="1">IFERROR(__xludf.DUMMYFUNCTION("""COMPUTED_VALUE"""),"""Davenport College of Business")</f>
        <v>"Davenport College of Business</v>
      </c>
      <c r="D445" s="3" t="str">
        <f ca="1">IFERROR(__xludf.DUMMYFUNCTION("""COMPUTED_VALUE""")," Grand Rapids""")</f>
        <v xml:space="preserve"> Grand Rapids"</v>
      </c>
      <c r="E445" s="4" t="str">
        <f ca="1">IFERROR(__xludf.DUMMYFUNCTION("""COMPUTED_VALUE"""),"http://www.davenport.edu/grandrapids/")</f>
        <v>http://www.davenport.edu/grandrapids/</v>
      </c>
      <c r="G445" s="2" t="str">
        <f t="shared" ca="1" si="0"/>
        <v>"Davenport College of Business</v>
      </c>
      <c r="H445" s="5" t="str">
        <f t="shared" ca="1" si="1"/>
        <v>Davenport College of Business</v>
      </c>
      <c r="I445" s="3" t="str">
        <f t="shared" ca="1" si="2"/>
        <v>'Davenport College of Business',</v>
      </c>
    </row>
    <row r="446" spans="1:9">
      <c r="A446" s="1" t="s">
        <v>444</v>
      </c>
      <c r="B446" s="3" t="str">
        <f ca="1">IFERROR(__xludf.DUMMYFUNCTION("SPLIT(A446,"","")"),"US")</f>
        <v>US</v>
      </c>
      <c r="C446" s="3" t="str">
        <f ca="1">IFERROR(__xludf.DUMMYFUNCTION("""COMPUTED_VALUE"""),"""Davenport College of Business")</f>
        <v>"Davenport College of Business</v>
      </c>
      <c r="D446" s="3" t="str">
        <f ca="1">IFERROR(__xludf.DUMMYFUNCTION("""COMPUTED_VALUE""")," Kalamazoo""")</f>
        <v xml:space="preserve"> Kalamazoo"</v>
      </c>
      <c r="E446" s="4" t="str">
        <f ca="1">IFERROR(__xludf.DUMMYFUNCTION("""COMPUTED_VALUE"""),"http://www.davenport.edu/kalamazoo/")</f>
        <v>http://www.davenport.edu/kalamazoo/</v>
      </c>
      <c r="G446" s="2" t="str">
        <f t="shared" ca="1" si="0"/>
        <v>"Davenport College of Business</v>
      </c>
      <c r="H446" s="5" t="str">
        <f t="shared" ca="1" si="1"/>
        <v>Davenport College of Business</v>
      </c>
      <c r="I446" s="3" t="str">
        <f t="shared" ca="1" si="2"/>
        <v>'Davenport College of Business',</v>
      </c>
    </row>
    <row r="447" spans="1:9">
      <c r="A447" s="1" t="s">
        <v>445</v>
      </c>
      <c r="B447" s="3" t="str">
        <f ca="1">IFERROR(__xludf.DUMMYFUNCTION("SPLIT(A447,"","")"),"US")</f>
        <v>US</v>
      </c>
      <c r="C447" s="3" t="str">
        <f ca="1">IFERROR(__xludf.DUMMYFUNCTION("""COMPUTED_VALUE"""),"""Davenport College of Business")</f>
        <v>"Davenport College of Business</v>
      </c>
      <c r="D447" s="3" t="str">
        <f ca="1">IFERROR(__xludf.DUMMYFUNCTION("""COMPUTED_VALUE""")," Lansing""")</f>
        <v xml:space="preserve"> Lansing"</v>
      </c>
      <c r="E447" s="4" t="str">
        <f ca="1">IFERROR(__xludf.DUMMYFUNCTION("""COMPUTED_VALUE"""),"http://www.davenport.edu/lansing/")</f>
        <v>http://www.davenport.edu/lansing/</v>
      </c>
      <c r="G447" s="2" t="str">
        <f t="shared" ca="1" si="0"/>
        <v>"Davenport College of Business</v>
      </c>
      <c r="H447" s="5" t="str">
        <f t="shared" ca="1" si="1"/>
        <v>Davenport College of Business</v>
      </c>
      <c r="I447" s="3" t="str">
        <f t="shared" ca="1" si="2"/>
        <v>'Davenport College of Business',</v>
      </c>
    </row>
    <row r="448" spans="1:9">
      <c r="A448" s="1" t="s">
        <v>446</v>
      </c>
      <c r="B448" s="3" t="str">
        <f ca="1">IFERROR(__xludf.DUMMYFUNCTION("SPLIT(A448,"","")"),"US")</f>
        <v>US</v>
      </c>
      <c r="C448" s="3" t="str">
        <f ca="1">IFERROR(__xludf.DUMMYFUNCTION("""COMPUTED_VALUE"""),"Davidson College")</f>
        <v>Davidson College</v>
      </c>
      <c r="D448" s="4" t="str">
        <f ca="1">IFERROR(__xludf.DUMMYFUNCTION("""COMPUTED_VALUE"""),"http://www.davidson.edu/")</f>
        <v>http://www.davidson.edu/</v>
      </c>
      <c r="G448" s="2" t="str">
        <f t="shared" ca="1" si="0"/>
        <v>Davidson College</v>
      </c>
      <c r="H448" s="5" t="str">
        <f t="shared" ca="1" si="1"/>
        <v>Davidson College</v>
      </c>
      <c r="I448" s="3" t="str">
        <f t="shared" ca="1" si="2"/>
        <v>'Davidson College',</v>
      </c>
    </row>
    <row r="449" spans="1:9">
      <c r="A449" s="1" t="s">
        <v>447</v>
      </c>
      <c r="B449" s="3" t="str">
        <f ca="1">IFERROR(__xludf.DUMMYFUNCTION("SPLIT(A449,"","")"),"US")</f>
        <v>US</v>
      </c>
      <c r="C449" s="3" t="str">
        <f ca="1">IFERROR(__xludf.DUMMYFUNCTION("""COMPUTED_VALUE"""),"Davis and Elkins College")</f>
        <v>Davis and Elkins College</v>
      </c>
      <c r="D449" s="4" t="str">
        <f ca="1">IFERROR(__xludf.DUMMYFUNCTION("""COMPUTED_VALUE"""),"http://www.dne.edu/")</f>
        <v>http://www.dne.edu/</v>
      </c>
      <c r="G449" s="2" t="str">
        <f t="shared" ca="1" si="0"/>
        <v>Davis and Elkins College</v>
      </c>
      <c r="H449" s="5" t="str">
        <f t="shared" ca="1" si="1"/>
        <v>Davis and Elkins College</v>
      </c>
      <c r="I449" s="3" t="str">
        <f t="shared" ca="1" si="2"/>
        <v>'Davis and Elkins College',</v>
      </c>
    </row>
    <row r="450" spans="1:9">
      <c r="A450" s="1" t="s">
        <v>448</v>
      </c>
      <c r="B450" s="3" t="str">
        <f ca="1">IFERROR(__xludf.DUMMYFUNCTION("SPLIT(A450,"","")"),"US")</f>
        <v>US</v>
      </c>
      <c r="C450" s="3" t="str">
        <f ca="1">IFERROR(__xludf.DUMMYFUNCTION("""COMPUTED_VALUE"""),"Deaconess College of Nursing")</f>
        <v>Deaconess College of Nursing</v>
      </c>
      <c r="D450" s="4" t="str">
        <f ca="1">IFERROR(__xludf.DUMMYFUNCTION("""COMPUTED_VALUE"""),"http://www.deaconess.edu/")</f>
        <v>http://www.deaconess.edu/</v>
      </c>
      <c r="G450" s="2" t="str">
        <f t="shared" ca="1" si="0"/>
        <v>Deaconess College of Nursing</v>
      </c>
      <c r="H450" s="5" t="str">
        <f t="shared" ca="1" si="1"/>
        <v>Deaconess College of Nursing</v>
      </c>
      <c r="I450" s="3" t="str">
        <f t="shared" ca="1" si="2"/>
        <v>'Deaconess College of Nursing',</v>
      </c>
    </row>
    <row r="451" spans="1:9">
      <c r="A451" s="1" t="s">
        <v>449</v>
      </c>
      <c r="B451" s="3" t="str">
        <f ca="1">IFERROR(__xludf.DUMMYFUNCTION("SPLIT(A451,"","")"),"US")</f>
        <v>US</v>
      </c>
      <c r="C451" s="3" t="str">
        <f ca="1">IFERROR(__xludf.DUMMYFUNCTION("""COMPUTED_VALUE"""),"Delaware State University")</f>
        <v>Delaware State University</v>
      </c>
      <c r="D451" s="4" t="str">
        <f ca="1">IFERROR(__xludf.DUMMYFUNCTION("""COMPUTED_VALUE"""),"http://www.dsc.edu/")</f>
        <v>http://www.dsc.edu/</v>
      </c>
      <c r="G451" s="2" t="str">
        <f t="shared" ca="1" si="0"/>
        <v>Delaware State University</v>
      </c>
      <c r="H451" s="5" t="str">
        <f t="shared" ca="1" si="1"/>
        <v>Delaware State University</v>
      </c>
      <c r="I451" s="3" t="str">
        <f t="shared" ca="1" si="2"/>
        <v>'Delaware State University',</v>
      </c>
    </row>
    <row r="452" spans="1:9">
      <c r="A452" s="1" t="s">
        <v>450</v>
      </c>
      <c r="B452" s="3" t="str">
        <f ca="1">IFERROR(__xludf.DUMMYFUNCTION("SPLIT(A452,"","")"),"US")</f>
        <v>US</v>
      </c>
      <c r="C452" s="3" t="str">
        <f ca="1">IFERROR(__xludf.DUMMYFUNCTION("""COMPUTED_VALUE"""),"Delaware Valley College")</f>
        <v>Delaware Valley College</v>
      </c>
      <c r="D452" s="4" t="str">
        <f ca="1">IFERROR(__xludf.DUMMYFUNCTION("""COMPUTED_VALUE"""),"http://www.devalcol.edu/")</f>
        <v>http://www.devalcol.edu/</v>
      </c>
      <c r="G452" s="2" t="str">
        <f t="shared" ca="1" si="0"/>
        <v>Delaware Valley College</v>
      </c>
      <c r="H452" s="5" t="str">
        <f t="shared" ca="1" si="1"/>
        <v>Delaware Valley College</v>
      </c>
      <c r="I452" s="3" t="str">
        <f t="shared" ca="1" si="2"/>
        <v>'Delaware Valley College',</v>
      </c>
    </row>
    <row r="453" spans="1:9">
      <c r="A453" s="1" t="s">
        <v>451</v>
      </c>
      <c r="B453" s="3" t="str">
        <f ca="1">IFERROR(__xludf.DUMMYFUNCTION("SPLIT(A453,"","")"),"US")</f>
        <v>US</v>
      </c>
      <c r="C453" s="3" t="str">
        <f ca="1">IFERROR(__xludf.DUMMYFUNCTION("""COMPUTED_VALUE"""),"Delta International University")</f>
        <v>Delta International University</v>
      </c>
      <c r="D453" s="4" t="str">
        <f ca="1">IFERROR(__xludf.DUMMYFUNCTION("""COMPUTED_VALUE"""),"http://www.delta-university.org/")</f>
        <v>http://www.delta-university.org/</v>
      </c>
      <c r="G453" s="2" t="str">
        <f t="shared" ca="1" si="0"/>
        <v>Delta International University</v>
      </c>
      <c r="H453" s="5" t="str">
        <f t="shared" ca="1" si="1"/>
        <v>Delta International University</v>
      </c>
      <c r="I453" s="3" t="str">
        <f t="shared" ca="1" si="2"/>
        <v>'Delta International University',</v>
      </c>
    </row>
    <row r="454" spans="1:9">
      <c r="A454" s="1" t="s">
        <v>452</v>
      </c>
      <c r="B454" s="3" t="str">
        <f ca="1">IFERROR(__xludf.DUMMYFUNCTION("SPLIT(A454,"","")"),"US")</f>
        <v>US</v>
      </c>
      <c r="C454" s="3" t="str">
        <f ca="1">IFERROR(__xludf.DUMMYFUNCTION("""COMPUTED_VALUE"""),"Delta State University")</f>
        <v>Delta State University</v>
      </c>
      <c r="D454" s="4" t="str">
        <f ca="1">IFERROR(__xludf.DUMMYFUNCTION("""COMPUTED_VALUE"""),"http://www.deltast.edu/")</f>
        <v>http://www.deltast.edu/</v>
      </c>
      <c r="G454" s="2" t="str">
        <f t="shared" ca="1" si="0"/>
        <v>Delta State University</v>
      </c>
      <c r="H454" s="5" t="str">
        <f t="shared" ca="1" si="1"/>
        <v>Delta State University</v>
      </c>
      <c r="I454" s="3" t="str">
        <f t="shared" ca="1" si="2"/>
        <v>'Delta State University',</v>
      </c>
    </row>
    <row r="455" spans="1:9">
      <c r="A455" s="1" t="s">
        <v>453</v>
      </c>
      <c r="B455" s="3" t="str">
        <f ca="1">IFERROR(__xludf.DUMMYFUNCTION("SPLIT(A455,"","")"),"US")</f>
        <v>US</v>
      </c>
      <c r="C455" s="3" t="str">
        <f ca="1">IFERROR(__xludf.DUMMYFUNCTION("""COMPUTED_VALUE"""),"Denison University")</f>
        <v>Denison University</v>
      </c>
      <c r="D455" s="4" t="str">
        <f ca="1">IFERROR(__xludf.DUMMYFUNCTION("""COMPUTED_VALUE"""),"http://www.denison.edu/")</f>
        <v>http://www.denison.edu/</v>
      </c>
      <c r="G455" s="2" t="str">
        <f t="shared" ca="1" si="0"/>
        <v>Denison University</v>
      </c>
      <c r="H455" s="5" t="str">
        <f t="shared" ca="1" si="1"/>
        <v>Denison University</v>
      </c>
      <c r="I455" s="3" t="str">
        <f t="shared" ca="1" si="2"/>
        <v>'Denison University',</v>
      </c>
    </row>
    <row r="456" spans="1:9">
      <c r="A456" s="1" t="s">
        <v>454</v>
      </c>
      <c r="B456" s="3" t="str">
        <f ca="1">IFERROR(__xludf.DUMMYFUNCTION("SPLIT(A456,"","")"),"US")</f>
        <v>US</v>
      </c>
      <c r="C456" s="3" t="str">
        <f ca="1">IFERROR(__xludf.DUMMYFUNCTION("""COMPUTED_VALUE"""),"Denver Paralegal Institute")</f>
        <v>Denver Paralegal Institute</v>
      </c>
      <c r="D456" s="4" t="str">
        <f ca="1">IFERROR(__xludf.DUMMYFUNCTION("""COMPUTED_VALUE"""),"http://www.paralegal-education.com/campuses/cosprings/")</f>
        <v>http://www.paralegal-education.com/campuses/cosprings/</v>
      </c>
      <c r="G456" s="2" t="str">
        <f t="shared" ca="1" si="0"/>
        <v>Denver Paralegal Institute</v>
      </c>
      <c r="H456" s="5" t="str">
        <f t="shared" ca="1" si="1"/>
        <v>Denver Paralegal Institute</v>
      </c>
      <c r="I456" s="3" t="str">
        <f t="shared" ca="1" si="2"/>
        <v>'Denver Paralegal Institute',</v>
      </c>
    </row>
    <row r="457" spans="1:9">
      <c r="A457" s="1" t="s">
        <v>455</v>
      </c>
      <c r="B457" s="3" t="str">
        <f ca="1">IFERROR(__xludf.DUMMYFUNCTION("SPLIT(A457,"","")"),"US")</f>
        <v>US</v>
      </c>
      <c r="C457" s="3" t="str">
        <f ca="1">IFERROR(__xludf.DUMMYFUNCTION("""COMPUTED_VALUE"""),"Denver Technical College")</f>
        <v>Denver Technical College</v>
      </c>
      <c r="D457" s="4" t="str">
        <f ca="1">IFERROR(__xludf.DUMMYFUNCTION("""COMPUTED_VALUE"""),"http://www.dtc.edu/")</f>
        <v>http://www.dtc.edu/</v>
      </c>
      <c r="G457" s="2" t="str">
        <f t="shared" ca="1" si="0"/>
        <v>Denver Technical College</v>
      </c>
      <c r="H457" s="5" t="str">
        <f t="shared" ca="1" si="1"/>
        <v>Denver Technical College</v>
      </c>
      <c r="I457" s="3" t="str">
        <f t="shared" ca="1" si="2"/>
        <v>'Denver Technical College',</v>
      </c>
    </row>
    <row r="458" spans="1:9">
      <c r="A458" s="1" t="s">
        <v>456</v>
      </c>
      <c r="B458" s="3" t="str">
        <f ca="1">IFERROR(__xludf.DUMMYFUNCTION("SPLIT(A458,"","")"),"US")</f>
        <v>US</v>
      </c>
      <c r="C458" s="3" t="str">
        <f ca="1">IFERROR(__xludf.DUMMYFUNCTION("""COMPUTED_VALUE"""),"DePaul University")</f>
        <v>DePaul University</v>
      </c>
      <c r="D458" s="4" t="str">
        <f ca="1">IFERROR(__xludf.DUMMYFUNCTION("""COMPUTED_VALUE"""),"http://www.depaul.edu/")</f>
        <v>http://www.depaul.edu/</v>
      </c>
      <c r="G458" s="2" t="str">
        <f t="shared" ca="1" si="0"/>
        <v>DePaul University</v>
      </c>
      <c r="H458" s="5" t="str">
        <f t="shared" ca="1" si="1"/>
        <v>DePaul University</v>
      </c>
      <c r="I458" s="3" t="str">
        <f t="shared" ca="1" si="2"/>
        <v>'DePaul University',</v>
      </c>
    </row>
    <row r="459" spans="1:9">
      <c r="A459" s="1" t="s">
        <v>457</v>
      </c>
      <c r="B459" s="3" t="str">
        <f ca="1">IFERROR(__xludf.DUMMYFUNCTION("SPLIT(A459,"","")"),"US")</f>
        <v>US</v>
      </c>
      <c r="C459" s="3" t="str">
        <f ca="1">IFERROR(__xludf.DUMMYFUNCTION("""COMPUTED_VALUE"""),"DePauw University")</f>
        <v>DePauw University</v>
      </c>
      <c r="D459" s="4" t="str">
        <f ca="1">IFERROR(__xludf.DUMMYFUNCTION("""COMPUTED_VALUE"""),"http://www.depauw.edu/")</f>
        <v>http://www.depauw.edu/</v>
      </c>
      <c r="G459" s="2" t="str">
        <f t="shared" ca="1" si="0"/>
        <v>DePauw University</v>
      </c>
      <c r="H459" s="5" t="str">
        <f t="shared" ca="1" si="1"/>
        <v>DePauw University</v>
      </c>
      <c r="I459" s="3" t="str">
        <f t="shared" ca="1" si="2"/>
        <v>'DePauw University',</v>
      </c>
    </row>
    <row r="460" spans="1:9">
      <c r="A460" s="1" t="s">
        <v>458</v>
      </c>
      <c r="B460" s="3" t="str">
        <f ca="1">IFERROR(__xludf.DUMMYFUNCTION("SPLIT(A460,"","")"),"US")</f>
        <v>US</v>
      </c>
      <c r="C460" s="3" t="str">
        <f ca="1">IFERROR(__xludf.DUMMYFUNCTION("""COMPUTED_VALUE"""),"DeSales University")</f>
        <v>DeSales University</v>
      </c>
      <c r="D460" s="4" t="str">
        <f ca="1">IFERROR(__xludf.DUMMYFUNCTION("""COMPUTED_VALUE"""),"http://www.desales.edu/")</f>
        <v>http://www.desales.edu/</v>
      </c>
      <c r="G460" s="2" t="str">
        <f t="shared" ca="1" si="0"/>
        <v>DeSales University</v>
      </c>
      <c r="H460" s="5" t="str">
        <f t="shared" ca="1" si="1"/>
        <v>DeSales University</v>
      </c>
      <c r="I460" s="3" t="str">
        <f t="shared" ca="1" si="2"/>
        <v>'DeSales University',</v>
      </c>
    </row>
    <row r="461" spans="1:9">
      <c r="A461" s="1" t="s">
        <v>459</v>
      </c>
      <c r="B461" s="3" t="str">
        <f ca="1">IFERROR(__xludf.DUMMYFUNCTION("SPLIT(A461,"","")"),"US")</f>
        <v>US</v>
      </c>
      <c r="C461" s="3" t="str">
        <f ca="1">IFERROR(__xludf.DUMMYFUNCTION("""COMPUTED_VALUE"""),"Design Institute of San Diego")</f>
        <v>Design Institute of San Diego</v>
      </c>
      <c r="D461" s="4" t="str">
        <f ca="1">IFERROR(__xludf.DUMMYFUNCTION("""COMPUTED_VALUE"""),"http://www.disd.edu/")</f>
        <v>http://www.disd.edu/</v>
      </c>
      <c r="G461" s="2" t="str">
        <f t="shared" ca="1" si="0"/>
        <v>Design Institute of San Diego</v>
      </c>
      <c r="H461" s="5" t="str">
        <f t="shared" ca="1" si="1"/>
        <v>Design Institute of San Diego</v>
      </c>
      <c r="I461" s="3" t="str">
        <f t="shared" ca="1" si="2"/>
        <v>'Design Institute of San Diego',</v>
      </c>
    </row>
    <row r="462" spans="1:9">
      <c r="A462" s="1" t="s">
        <v>460</v>
      </c>
      <c r="B462" s="3" t="str">
        <f ca="1">IFERROR(__xludf.DUMMYFUNCTION("SPLIT(A462,"","")"),"US")</f>
        <v>US</v>
      </c>
      <c r="C462" s="3" t="str">
        <f ca="1">IFERROR(__xludf.DUMMYFUNCTION("""COMPUTED_VALUE"""),"Detroit College of Business")</f>
        <v>Detroit College of Business</v>
      </c>
      <c r="D462" s="4" t="str">
        <f ca="1">IFERROR(__xludf.DUMMYFUNCTION("""COMPUTED_VALUE"""),"http://www.dcb.edu/")</f>
        <v>http://www.dcb.edu/</v>
      </c>
      <c r="G462" s="2" t="str">
        <f t="shared" ca="1" si="0"/>
        <v>Detroit College of Business</v>
      </c>
      <c r="H462" s="5" t="str">
        <f t="shared" ca="1" si="1"/>
        <v>Detroit College of Business</v>
      </c>
      <c r="I462" s="3" t="str">
        <f t="shared" ca="1" si="2"/>
        <v>'Detroit College of Business',</v>
      </c>
    </row>
    <row r="463" spans="1:9">
      <c r="A463" s="1" t="s">
        <v>461</v>
      </c>
      <c r="B463" s="3" t="str">
        <f ca="1">IFERROR(__xludf.DUMMYFUNCTION("SPLIT(A463,"","")"),"US")</f>
        <v>US</v>
      </c>
      <c r="C463" s="3" t="str">
        <f ca="1">IFERROR(__xludf.DUMMYFUNCTION("""COMPUTED_VALUE"""),"Detroit College of Business - Flint")</f>
        <v>Detroit College of Business - Flint</v>
      </c>
      <c r="D463" s="4" t="str">
        <f ca="1">IFERROR(__xludf.DUMMYFUNCTION("""COMPUTED_VALUE"""),"http://www.davenport.edu/e3front.dll?durki=1283")</f>
        <v>http://www.davenport.edu/e3front.dll?durki=1283</v>
      </c>
      <c r="G463" s="2" t="str">
        <f t="shared" ca="1" si="0"/>
        <v>Detroit College of Business - Flint</v>
      </c>
      <c r="H463" s="5" t="str">
        <f t="shared" ca="1" si="1"/>
        <v>Detroit College of Business - Flint</v>
      </c>
      <c r="I463" s="3" t="str">
        <f t="shared" ca="1" si="2"/>
        <v>'Detroit College of Business - Flint',</v>
      </c>
    </row>
    <row r="464" spans="1:9">
      <c r="A464" s="1" t="s">
        <v>462</v>
      </c>
      <c r="B464" s="3" t="str">
        <f ca="1">IFERROR(__xludf.DUMMYFUNCTION("SPLIT(A464,"","")"),"US")</f>
        <v>US</v>
      </c>
      <c r="C464" s="3" t="str">
        <f ca="1">IFERROR(__xludf.DUMMYFUNCTION("""COMPUTED_VALUE"""),"Detroit College of Business - Warren")</f>
        <v>Detroit College of Business - Warren</v>
      </c>
      <c r="D464" s="4" t="str">
        <f ca="1">IFERROR(__xludf.DUMMYFUNCTION("""COMPUTED_VALUE"""),"http://www.davenport.edu/e3front.dll?durki=108")</f>
        <v>http://www.davenport.edu/e3front.dll?durki=108</v>
      </c>
      <c r="G464" s="2" t="str">
        <f t="shared" ca="1" si="0"/>
        <v>Detroit College of Business - Warren</v>
      </c>
      <c r="H464" s="5" t="str">
        <f t="shared" ca="1" si="1"/>
        <v>Detroit College of Business - Warren</v>
      </c>
      <c r="I464" s="3" t="str">
        <f t="shared" ca="1" si="2"/>
        <v>'Detroit College of Business - Warren',</v>
      </c>
    </row>
    <row r="465" spans="1:9">
      <c r="A465" s="1" t="s">
        <v>463</v>
      </c>
      <c r="B465" s="3" t="str">
        <f ca="1">IFERROR(__xludf.DUMMYFUNCTION("SPLIT(A465,"","")"),"US")</f>
        <v>US</v>
      </c>
      <c r="C465" s="3" t="str">
        <f ca="1">IFERROR(__xludf.DUMMYFUNCTION("""COMPUTED_VALUE"""),"Detroit College of Law")</f>
        <v>Detroit College of Law</v>
      </c>
      <c r="D465" s="4" t="str">
        <f ca="1">IFERROR(__xludf.DUMMYFUNCTION("""COMPUTED_VALUE"""),"http://www.dcl.edu/")</f>
        <v>http://www.dcl.edu/</v>
      </c>
      <c r="G465" s="2" t="str">
        <f t="shared" ca="1" si="0"/>
        <v>Detroit College of Law</v>
      </c>
      <c r="H465" s="5" t="str">
        <f t="shared" ca="1" si="1"/>
        <v>Detroit College of Law</v>
      </c>
      <c r="I465" s="3" t="str">
        <f t="shared" ca="1" si="2"/>
        <v>'Detroit College of Law',</v>
      </c>
    </row>
    <row r="466" spans="1:9">
      <c r="A466" s="1" t="s">
        <v>464</v>
      </c>
      <c r="B466" s="3" t="str">
        <f ca="1">IFERROR(__xludf.DUMMYFUNCTION("SPLIT(A466,"","")"),"US")</f>
        <v>US</v>
      </c>
      <c r="C466" s="3" t="str">
        <f ca="1">IFERROR(__xludf.DUMMYFUNCTION("""COMPUTED_VALUE"""),"""DeVry Institute of Technology")</f>
        <v>"DeVry Institute of Technology</v>
      </c>
      <c r="D466" s="3" t="str">
        <f ca="1">IFERROR(__xludf.DUMMYFUNCTION("""COMPUTED_VALUE""")," Chicago""")</f>
        <v xml:space="preserve"> Chicago"</v>
      </c>
      <c r="E466" s="4" t="str">
        <f ca="1">IFERROR(__xludf.DUMMYFUNCTION("""COMPUTED_VALUE"""),"http://www.chi.devry.edu/")</f>
        <v>http://www.chi.devry.edu/</v>
      </c>
      <c r="G466" s="2" t="str">
        <f t="shared" ca="1" si="0"/>
        <v>"DeVry Institute of Technology</v>
      </c>
      <c r="H466" s="5" t="str">
        <f t="shared" ca="1" si="1"/>
        <v>DeVry Institute of Technology</v>
      </c>
      <c r="I466" s="3" t="str">
        <f t="shared" ca="1" si="2"/>
        <v>'DeVry Institute of Technology',</v>
      </c>
    </row>
    <row r="467" spans="1:9">
      <c r="A467" s="1" t="s">
        <v>465</v>
      </c>
      <c r="B467" s="3" t="str">
        <f ca="1">IFERROR(__xludf.DUMMYFUNCTION("SPLIT(A467,"","")"),"US")</f>
        <v>US</v>
      </c>
      <c r="C467" s="3" t="str">
        <f ca="1">IFERROR(__xludf.DUMMYFUNCTION("""COMPUTED_VALUE"""),"""DeVry Institute of Technology")</f>
        <v>"DeVry Institute of Technology</v>
      </c>
      <c r="D467" s="3" t="str">
        <f ca="1">IFERROR(__xludf.DUMMYFUNCTION("""COMPUTED_VALUE""")," Columbus""")</f>
        <v xml:space="preserve"> Columbus"</v>
      </c>
      <c r="E467" s="4" t="str">
        <f ca="1">IFERROR(__xludf.DUMMYFUNCTION("""COMPUTED_VALUE"""),"http://www.devrycols.edu/")</f>
        <v>http://www.devrycols.edu/</v>
      </c>
      <c r="G467" s="2" t="str">
        <f t="shared" ca="1" si="0"/>
        <v>"DeVry Institute of Technology</v>
      </c>
      <c r="H467" s="5" t="str">
        <f t="shared" ca="1" si="1"/>
        <v>DeVry Institute of Technology</v>
      </c>
      <c r="I467" s="3" t="str">
        <f t="shared" ca="1" si="2"/>
        <v>'DeVry Institute of Technology',</v>
      </c>
    </row>
    <row r="468" spans="1:9">
      <c r="A468" s="1" t="s">
        <v>466</v>
      </c>
      <c r="B468" s="3" t="str">
        <f ca="1">IFERROR(__xludf.DUMMYFUNCTION("SPLIT(A468,"","")"),"US")</f>
        <v>US</v>
      </c>
      <c r="C468" s="3" t="str">
        <f ca="1">IFERROR(__xludf.DUMMYFUNCTION("""COMPUTED_VALUE"""),"""DeVry Institute of Technology")</f>
        <v>"DeVry Institute of Technology</v>
      </c>
      <c r="D468" s="3" t="str">
        <f ca="1">IFERROR(__xludf.DUMMYFUNCTION("""COMPUTED_VALUE""")," Decatur""")</f>
        <v xml:space="preserve"> Decatur"</v>
      </c>
      <c r="E468" s="4" t="str">
        <f ca="1">IFERROR(__xludf.DUMMYFUNCTION("""COMPUTED_VALUE"""),"http://www.atl.devry.edu/")</f>
        <v>http://www.atl.devry.edu/</v>
      </c>
      <c r="G468" s="2" t="str">
        <f t="shared" ca="1" si="0"/>
        <v>"DeVry Institute of Technology</v>
      </c>
      <c r="H468" s="5" t="str">
        <f t="shared" ca="1" si="1"/>
        <v>DeVry Institute of Technology</v>
      </c>
      <c r="I468" s="3" t="str">
        <f t="shared" ca="1" si="2"/>
        <v>'DeVry Institute of Technology',</v>
      </c>
    </row>
    <row r="469" spans="1:9">
      <c r="A469" s="1" t="s">
        <v>467</v>
      </c>
      <c r="B469" s="3" t="str">
        <f ca="1">IFERROR(__xludf.DUMMYFUNCTION("SPLIT(A469,"","")"),"US")</f>
        <v>US</v>
      </c>
      <c r="C469" s="3" t="str">
        <f ca="1">IFERROR(__xludf.DUMMYFUNCTION("""COMPUTED_VALUE"""),"""DeVry Institute of Technology")</f>
        <v>"DeVry Institute of Technology</v>
      </c>
      <c r="D469" s="3" t="str">
        <f ca="1">IFERROR(__xludf.DUMMYFUNCTION("""COMPUTED_VALUE""")," DuPage""")</f>
        <v xml:space="preserve"> DuPage"</v>
      </c>
      <c r="E469" s="4" t="str">
        <f ca="1">IFERROR(__xludf.DUMMYFUNCTION("""COMPUTED_VALUE"""),"http://www.dpg.devry.edu/")</f>
        <v>http://www.dpg.devry.edu/</v>
      </c>
      <c r="G469" s="2" t="str">
        <f t="shared" ca="1" si="0"/>
        <v>"DeVry Institute of Technology</v>
      </c>
      <c r="H469" s="5" t="str">
        <f t="shared" ca="1" si="1"/>
        <v>DeVry Institute of Technology</v>
      </c>
      <c r="I469" s="3" t="str">
        <f t="shared" ca="1" si="2"/>
        <v>'DeVry Institute of Technology',</v>
      </c>
    </row>
    <row r="470" spans="1:9">
      <c r="A470" s="1" t="s">
        <v>468</v>
      </c>
      <c r="B470" s="3" t="str">
        <f ca="1">IFERROR(__xludf.DUMMYFUNCTION("SPLIT(A470,"","")"),"US")</f>
        <v>US</v>
      </c>
      <c r="C470" s="3" t="str">
        <f ca="1">IFERROR(__xludf.DUMMYFUNCTION("""COMPUTED_VALUE"""),"""DeVry Institute of Technology")</f>
        <v>"DeVry Institute of Technology</v>
      </c>
      <c r="D470" s="3" t="str">
        <f ca="1">IFERROR(__xludf.DUMMYFUNCTION("""COMPUTED_VALUE""")," Irving""")</f>
        <v xml:space="preserve"> Irving"</v>
      </c>
      <c r="E470" s="4" t="str">
        <f ca="1">IFERROR(__xludf.DUMMYFUNCTION("""COMPUTED_VALUE"""),"http://www.dal.devry.edu/")</f>
        <v>http://www.dal.devry.edu/</v>
      </c>
      <c r="G470" s="2" t="str">
        <f t="shared" ca="1" si="0"/>
        <v>"DeVry Institute of Technology</v>
      </c>
      <c r="H470" s="5" t="str">
        <f t="shared" ca="1" si="1"/>
        <v>DeVry Institute of Technology</v>
      </c>
      <c r="I470" s="3" t="str">
        <f t="shared" ca="1" si="2"/>
        <v>'DeVry Institute of Technology',</v>
      </c>
    </row>
    <row r="471" spans="1:9">
      <c r="A471" s="1" t="s">
        <v>469</v>
      </c>
      <c r="B471" s="3" t="str">
        <f ca="1">IFERROR(__xludf.DUMMYFUNCTION("SPLIT(A471,"","")"),"US")</f>
        <v>US</v>
      </c>
      <c r="C471" s="3" t="str">
        <f ca="1">IFERROR(__xludf.DUMMYFUNCTION("""COMPUTED_VALUE"""),"""DeVry Institute of Technology")</f>
        <v>"DeVry Institute of Technology</v>
      </c>
      <c r="D471" s="3" t="str">
        <f ca="1">IFERROR(__xludf.DUMMYFUNCTION("""COMPUTED_VALUE""")," Kansas City""")</f>
        <v xml:space="preserve"> Kansas City"</v>
      </c>
      <c r="E471" s="4" t="str">
        <f ca="1">IFERROR(__xludf.DUMMYFUNCTION("""COMPUTED_VALUE"""),"http://www.kc.devry.edu/")</f>
        <v>http://www.kc.devry.edu/</v>
      </c>
      <c r="G471" s="2" t="str">
        <f t="shared" ca="1" si="0"/>
        <v>"DeVry Institute of Technology</v>
      </c>
      <c r="H471" s="5" t="str">
        <f t="shared" ca="1" si="1"/>
        <v>DeVry Institute of Technology</v>
      </c>
      <c r="I471" s="3" t="str">
        <f t="shared" ca="1" si="2"/>
        <v>'DeVry Institute of Technology',</v>
      </c>
    </row>
    <row r="472" spans="1:9">
      <c r="A472" s="1" t="s">
        <v>470</v>
      </c>
      <c r="B472" s="3" t="str">
        <f ca="1">IFERROR(__xludf.DUMMYFUNCTION("SPLIT(A472,"","")"),"US")</f>
        <v>US</v>
      </c>
      <c r="C472" s="3" t="str">
        <f ca="1">IFERROR(__xludf.DUMMYFUNCTION("""COMPUTED_VALUE"""),"""DeVry Institute of Technology")</f>
        <v>"DeVry Institute of Technology</v>
      </c>
      <c r="D472" s="3" t="str">
        <f ca="1">IFERROR(__xludf.DUMMYFUNCTION("""COMPUTED_VALUE""")," Phoenix""")</f>
        <v xml:space="preserve"> Phoenix"</v>
      </c>
      <c r="E472" s="4" t="str">
        <f ca="1">IFERROR(__xludf.DUMMYFUNCTION("""COMPUTED_VALUE"""),"http://www.phx.devry.edu/")</f>
        <v>http://www.phx.devry.edu/</v>
      </c>
      <c r="G472" s="2" t="str">
        <f t="shared" ca="1" si="0"/>
        <v>"DeVry Institute of Technology</v>
      </c>
      <c r="H472" s="5" t="str">
        <f t="shared" ca="1" si="1"/>
        <v>DeVry Institute of Technology</v>
      </c>
      <c r="I472" s="3" t="str">
        <f t="shared" ca="1" si="2"/>
        <v>'DeVry Institute of Technology',</v>
      </c>
    </row>
    <row r="473" spans="1:9">
      <c r="A473" s="1" t="s">
        <v>471</v>
      </c>
      <c r="B473" s="3" t="str">
        <f ca="1">IFERROR(__xludf.DUMMYFUNCTION("SPLIT(A473,"","")"),"US")</f>
        <v>US</v>
      </c>
      <c r="C473" s="3" t="str">
        <f ca="1">IFERROR(__xludf.DUMMYFUNCTION("""COMPUTED_VALUE"""),"""DeVry Institute of Technology")</f>
        <v>"DeVry Institute of Technology</v>
      </c>
      <c r="D473" s="3" t="str">
        <f ca="1">IFERROR(__xludf.DUMMYFUNCTION("""COMPUTED_VALUE""")," Pomona""")</f>
        <v xml:space="preserve"> Pomona"</v>
      </c>
      <c r="E473" s="4" t="str">
        <f ca="1">IFERROR(__xludf.DUMMYFUNCTION("""COMPUTED_VALUE"""),"http://www.pom.devry.edu/")</f>
        <v>http://www.pom.devry.edu/</v>
      </c>
      <c r="G473" s="2" t="str">
        <f t="shared" ca="1" si="0"/>
        <v>"DeVry Institute of Technology</v>
      </c>
      <c r="H473" s="5" t="str">
        <f t="shared" ca="1" si="1"/>
        <v>DeVry Institute of Technology</v>
      </c>
      <c r="I473" s="3" t="str">
        <f t="shared" ca="1" si="2"/>
        <v>'DeVry Institute of Technology',</v>
      </c>
    </row>
    <row r="474" spans="1:9">
      <c r="A474" s="1" t="s">
        <v>472</v>
      </c>
      <c r="B474" s="3" t="str">
        <f ca="1">IFERROR(__xludf.DUMMYFUNCTION("SPLIT(A474,"","")"),"US")</f>
        <v>US</v>
      </c>
      <c r="C474" s="3" t="str">
        <f ca="1">IFERROR(__xludf.DUMMYFUNCTION("""COMPUTED_VALUE"""),"Dickinson College")</f>
        <v>Dickinson College</v>
      </c>
      <c r="D474" s="4" t="str">
        <f ca="1">IFERROR(__xludf.DUMMYFUNCTION("""COMPUTED_VALUE"""),"http://www.dickinson.edu/")</f>
        <v>http://www.dickinson.edu/</v>
      </c>
      <c r="G474" s="2" t="str">
        <f t="shared" ca="1" si="0"/>
        <v>Dickinson College</v>
      </c>
      <c r="H474" s="5" t="str">
        <f t="shared" ca="1" si="1"/>
        <v>Dickinson College</v>
      </c>
      <c r="I474" s="3" t="str">
        <f t="shared" ca="1" si="2"/>
        <v>'Dickinson College',</v>
      </c>
    </row>
    <row r="475" spans="1:9">
      <c r="A475" s="1" t="s">
        <v>473</v>
      </c>
      <c r="B475" s="3" t="str">
        <f ca="1">IFERROR(__xludf.DUMMYFUNCTION("SPLIT(A475,"","")"),"US")</f>
        <v>US</v>
      </c>
      <c r="C475" s="3" t="str">
        <f ca="1">IFERROR(__xludf.DUMMYFUNCTION("""COMPUTED_VALUE"""),"Dickinson State University")</f>
        <v>Dickinson State University</v>
      </c>
      <c r="D475" s="4" t="str">
        <f ca="1">IFERROR(__xludf.DUMMYFUNCTION("""COMPUTED_VALUE"""),"http://www.dsu.nodak.edu/")</f>
        <v>http://www.dsu.nodak.edu/</v>
      </c>
      <c r="G475" s="2" t="str">
        <f t="shared" ca="1" si="0"/>
        <v>Dickinson State University</v>
      </c>
      <c r="H475" s="5" t="str">
        <f t="shared" ca="1" si="1"/>
        <v>Dickinson State University</v>
      </c>
      <c r="I475" s="3" t="str">
        <f t="shared" ca="1" si="2"/>
        <v>'Dickinson State University',</v>
      </c>
    </row>
    <row r="476" spans="1:9">
      <c r="A476" s="1" t="s">
        <v>474</v>
      </c>
      <c r="B476" s="3" t="str">
        <f ca="1">IFERROR(__xludf.DUMMYFUNCTION("SPLIT(A476,"","")"),"US")</f>
        <v>US</v>
      </c>
      <c r="C476" s="3" t="str">
        <f ca="1">IFERROR(__xludf.DUMMYFUNCTION("""COMPUTED_VALUE"""),"Dillard University")</f>
        <v>Dillard University</v>
      </c>
      <c r="D476" s="4" t="str">
        <f ca="1">IFERROR(__xludf.DUMMYFUNCTION("""COMPUTED_VALUE"""),"http://www.dillard.edu/")</f>
        <v>http://www.dillard.edu/</v>
      </c>
      <c r="G476" s="2" t="str">
        <f t="shared" ca="1" si="0"/>
        <v>Dillard University</v>
      </c>
      <c r="H476" s="5" t="str">
        <f t="shared" ca="1" si="1"/>
        <v>Dillard University</v>
      </c>
      <c r="I476" s="3" t="str">
        <f t="shared" ca="1" si="2"/>
        <v>'Dillard University',</v>
      </c>
    </row>
    <row r="477" spans="1:9">
      <c r="A477" s="1" t="s">
        <v>475</v>
      </c>
      <c r="B477" s="3" t="str">
        <f ca="1">IFERROR(__xludf.DUMMYFUNCTION("SPLIT(A477,"","")"),"US")</f>
        <v>US</v>
      </c>
      <c r="C477" s="3" t="str">
        <f ca="1">IFERROR(__xludf.DUMMYFUNCTION("""COMPUTED_VALUE"""),"Divine Word College")</f>
        <v>Divine Word College</v>
      </c>
      <c r="D477" s="4" t="str">
        <f ca="1">IFERROR(__xludf.DUMMYFUNCTION("""COMPUTED_VALUE"""),"http://www.svd.org")</f>
        <v>http://www.svd.org</v>
      </c>
      <c r="G477" s="2" t="str">
        <f t="shared" ca="1" si="0"/>
        <v>Divine Word College</v>
      </c>
      <c r="H477" s="5" t="str">
        <f t="shared" ca="1" si="1"/>
        <v>Divine Word College</v>
      </c>
      <c r="I477" s="3" t="str">
        <f t="shared" ca="1" si="2"/>
        <v>'Divine Word College',</v>
      </c>
    </row>
    <row r="478" spans="1:9">
      <c r="A478" s="1" t="s">
        <v>476</v>
      </c>
      <c r="B478" s="3" t="str">
        <f ca="1">IFERROR(__xludf.DUMMYFUNCTION("SPLIT(A478,"","")"),"US")</f>
        <v>US</v>
      </c>
      <c r="C478" s="3" t="str">
        <f ca="1">IFERROR(__xludf.DUMMYFUNCTION("""COMPUTED_VALUE"""),"Dixie College")</f>
        <v>Dixie College</v>
      </c>
      <c r="D478" s="4" t="str">
        <f ca="1">IFERROR(__xludf.DUMMYFUNCTION("""COMPUTED_VALUE"""),"http://www.dixie.edu/")</f>
        <v>http://www.dixie.edu/</v>
      </c>
      <c r="G478" s="2" t="str">
        <f t="shared" ca="1" si="0"/>
        <v>Dixie College</v>
      </c>
      <c r="H478" s="5" t="str">
        <f t="shared" ca="1" si="1"/>
        <v>Dixie College</v>
      </c>
      <c r="I478" s="3" t="str">
        <f t="shared" ca="1" si="2"/>
        <v>'Dixie College',</v>
      </c>
    </row>
    <row r="479" spans="1:9">
      <c r="A479" s="1" t="s">
        <v>477</v>
      </c>
      <c r="B479" s="3" t="str">
        <f ca="1">IFERROR(__xludf.DUMMYFUNCTION("SPLIT(A479,"","")"),"US")</f>
        <v>US</v>
      </c>
      <c r="C479" s="3" t="str">
        <f ca="1">IFERROR(__xludf.DUMMYFUNCTION("""COMPUTED_VALUE"""),"Doane College")</f>
        <v>Doane College</v>
      </c>
      <c r="D479" s="4" t="str">
        <f ca="1">IFERROR(__xludf.DUMMYFUNCTION("""COMPUTED_VALUE"""),"http://www.doane.edu/")</f>
        <v>http://www.doane.edu/</v>
      </c>
      <c r="G479" s="2" t="str">
        <f t="shared" ca="1" si="0"/>
        <v>Doane College</v>
      </c>
      <c r="H479" s="5" t="str">
        <f t="shared" ca="1" si="1"/>
        <v>Doane College</v>
      </c>
      <c r="I479" s="3" t="str">
        <f t="shared" ca="1" si="2"/>
        <v>'Doane College',</v>
      </c>
    </row>
    <row r="480" spans="1:9">
      <c r="A480" s="1" t="s">
        <v>478</v>
      </c>
      <c r="B480" s="3" t="str">
        <f ca="1">IFERROR(__xludf.DUMMYFUNCTION("SPLIT(A480,"","")"),"US")</f>
        <v>US</v>
      </c>
      <c r="C480" s="3" t="str">
        <f ca="1">IFERROR(__xludf.DUMMYFUNCTION("""COMPUTED_VALUE"""),"Dominican College")</f>
        <v>Dominican College</v>
      </c>
      <c r="D480" s="4" t="str">
        <f ca="1">IFERROR(__xludf.DUMMYFUNCTION("""COMPUTED_VALUE"""),"http://www.dc.edu/")</f>
        <v>http://www.dc.edu/</v>
      </c>
      <c r="G480" s="2" t="str">
        <f t="shared" ca="1" si="0"/>
        <v>Dominican College</v>
      </c>
      <c r="H480" s="5" t="str">
        <f t="shared" ca="1" si="1"/>
        <v>Dominican College</v>
      </c>
      <c r="I480" s="3" t="str">
        <f t="shared" ca="1" si="2"/>
        <v>'Dominican College',</v>
      </c>
    </row>
    <row r="481" spans="1:9">
      <c r="A481" s="1" t="s">
        <v>479</v>
      </c>
      <c r="B481" s="3" t="str">
        <f ca="1">IFERROR(__xludf.DUMMYFUNCTION("SPLIT(A481,"","")"),"US")</f>
        <v>US</v>
      </c>
      <c r="C481" s="3" t="str">
        <f ca="1">IFERROR(__xludf.DUMMYFUNCTION("""COMPUTED_VALUE"""),"Dominican College of San Rafael")</f>
        <v>Dominican College of San Rafael</v>
      </c>
      <c r="D481" s="4" t="str">
        <f ca="1">IFERROR(__xludf.DUMMYFUNCTION("""COMPUTED_VALUE"""),"http://www.dominican.edu/")</f>
        <v>http://www.dominican.edu/</v>
      </c>
      <c r="G481" s="2" t="str">
        <f t="shared" ca="1" si="0"/>
        <v>Dominican College of San Rafael</v>
      </c>
      <c r="H481" s="5" t="str">
        <f t="shared" ca="1" si="1"/>
        <v>Dominican College of San Rafael</v>
      </c>
      <c r="I481" s="3" t="str">
        <f t="shared" ca="1" si="2"/>
        <v>'Dominican College of San Rafael',</v>
      </c>
    </row>
    <row r="482" spans="1:9">
      <c r="A482" s="1" t="s">
        <v>480</v>
      </c>
      <c r="B482" s="3" t="str">
        <f ca="1">IFERROR(__xludf.DUMMYFUNCTION("SPLIT(A482,"","")"),"US")</f>
        <v>US</v>
      </c>
      <c r="C482" s="3" t="str">
        <f ca="1">IFERROR(__xludf.DUMMYFUNCTION("""COMPUTED_VALUE"""),"Dominican School of Philosophy and Theology")</f>
        <v>Dominican School of Philosophy and Theology</v>
      </c>
      <c r="D482" s="4" t="str">
        <f ca="1">IFERROR(__xludf.DUMMYFUNCTION("""COMPUTED_VALUE"""),"http://www.dspt.edu/")</f>
        <v>http://www.dspt.edu/</v>
      </c>
      <c r="G482" s="2" t="str">
        <f t="shared" ca="1" si="0"/>
        <v>Dominican School of Philosophy and Theology</v>
      </c>
      <c r="H482" s="5" t="str">
        <f t="shared" ca="1" si="1"/>
        <v>Dominican School of Philosophy and Theology</v>
      </c>
      <c r="I482" s="3" t="str">
        <f t="shared" ca="1" si="2"/>
        <v>'Dominican School of Philosophy and Theology',</v>
      </c>
    </row>
    <row r="483" spans="1:9">
      <c r="A483" s="1" t="s">
        <v>481</v>
      </c>
      <c r="B483" s="3" t="str">
        <f ca="1">IFERROR(__xludf.DUMMYFUNCTION("SPLIT(A483,"","")"),"US")</f>
        <v>US</v>
      </c>
      <c r="C483" s="3" t="str">
        <f ca="1">IFERROR(__xludf.DUMMYFUNCTION("""COMPUTED_VALUE"""),"Dominican University")</f>
        <v>Dominican University</v>
      </c>
      <c r="D483" s="4" t="str">
        <f ca="1">IFERROR(__xludf.DUMMYFUNCTION("""COMPUTED_VALUE"""),"http://www.dom.edu/")</f>
        <v>http://www.dom.edu/</v>
      </c>
      <c r="G483" s="2" t="str">
        <f t="shared" ca="1" si="0"/>
        <v>Dominican University</v>
      </c>
      <c r="H483" s="5" t="str">
        <f t="shared" ca="1" si="1"/>
        <v>Dominican University</v>
      </c>
      <c r="I483" s="3" t="str">
        <f t="shared" ca="1" si="2"/>
        <v>'Dominican University',</v>
      </c>
    </row>
    <row r="484" spans="1:9">
      <c r="A484" s="1" t="s">
        <v>482</v>
      </c>
      <c r="B484" s="3" t="str">
        <f ca="1">IFERROR(__xludf.DUMMYFUNCTION("SPLIT(A484,"","")"),"US")</f>
        <v>US</v>
      </c>
      <c r="C484" s="3" t="str">
        <f ca="1">IFERROR(__xludf.DUMMYFUNCTION("""COMPUTED_VALUE"""),"Dominion College")</f>
        <v>Dominion College</v>
      </c>
      <c r="D484" s="4" t="str">
        <f ca="1">IFERROR(__xludf.DUMMYFUNCTION("""COMPUTED_VALUE"""),"http://www.dominion.edu/")</f>
        <v>http://www.dominion.edu/</v>
      </c>
      <c r="G484" s="2" t="str">
        <f t="shared" ca="1" si="0"/>
        <v>Dominion College</v>
      </c>
      <c r="H484" s="5" t="str">
        <f t="shared" ca="1" si="1"/>
        <v>Dominion College</v>
      </c>
      <c r="I484" s="3" t="str">
        <f t="shared" ca="1" si="2"/>
        <v>'Dominion College',</v>
      </c>
    </row>
    <row r="485" spans="1:9">
      <c r="A485" s="1" t="s">
        <v>483</v>
      </c>
      <c r="B485" s="3" t="str">
        <f ca="1">IFERROR(__xludf.DUMMYFUNCTION("SPLIT(A485,"","")"),"US")</f>
        <v>US</v>
      </c>
      <c r="C485" s="3" t="str">
        <f ca="1">IFERROR(__xludf.DUMMYFUNCTION("""COMPUTED_VALUE"""),"Dordt College")</f>
        <v>Dordt College</v>
      </c>
      <c r="D485" s="4" t="str">
        <f ca="1">IFERROR(__xludf.DUMMYFUNCTION("""COMPUTED_VALUE"""),"http://www.dordt.edu/")</f>
        <v>http://www.dordt.edu/</v>
      </c>
      <c r="G485" s="2" t="str">
        <f t="shared" ca="1" si="0"/>
        <v>Dordt College</v>
      </c>
      <c r="H485" s="5" t="str">
        <f t="shared" ca="1" si="1"/>
        <v>Dordt College</v>
      </c>
      <c r="I485" s="3" t="str">
        <f t="shared" ca="1" si="2"/>
        <v>'Dordt College',</v>
      </c>
    </row>
    <row r="486" spans="1:9">
      <c r="A486" s="1" t="s">
        <v>484</v>
      </c>
      <c r="B486" s="3" t="str">
        <f ca="1">IFERROR(__xludf.DUMMYFUNCTION("SPLIT(A486,"","")"),"US")</f>
        <v>US</v>
      </c>
      <c r="C486" s="3" t="str">
        <f ca="1">IFERROR(__xludf.DUMMYFUNCTION("""COMPUTED_VALUE"""),"Dowling College")</f>
        <v>Dowling College</v>
      </c>
      <c r="D486" s="4" t="str">
        <f ca="1">IFERROR(__xludf.DUMMYFUNCTION("""COMPUTED_VALUE"""),"http://www.dowling.edu/")</f>
        <v>http://www.dowling.edu/</v>
      </c>
      <c r="G486" s="2" t="str">
        <f t="shared" ca="1" si="0"/>
        <v>Dowling College</v>
      </c>
      <c r="H486" s="5" t="str">
        <f t="shared" ca="1" si="1"/>
        <v>Dowling College</v>
      </c>
      <c r="I486" s="3" t="str">
        <f t="shared" ca="1" si="2"/>
        <v>'Dowling College',</v>
      </c>
    </row>
    <row r="487" spans="1:9">
      <c r="A487" s="1" t="s">
        <v>485</v>
      </c>
      <c r="B487" s="3" t="str">
        <f ca="1">IFERROR(__xludf.DUMMYFUNCTION("SPLIT(A487,"","")"),"US")</f>
        <v>US</v>
      </c>
      <c r="C487" s="3" t="str">
        <f ca="1">IFERROR(__xludf.DUMMYFUNCTION("""COMPUTED_VALUE"""),"Drake University")</f>
        <v>Drake University</v>
      </c>
      <c r="D487" s="4" t="str">
        <f ca="1">IFERROR(__xludf.DUMMYFUNCTION("""COMPUTED_VALUE"""),"http://www.drake.edu/")</f>
        <v>http://www.drake.edu/</v>
      </c>
      <c r="G487" s="2" t="str">
        <f t="shared" ca="1" si="0"/>
        <v>Drake University</v>
      </c>
      <c r="H487" s="5" t="str">
        <f t="shared" ca="1" si="1"/>
        <v>Drake University</v>
      </c>
      <c r="I487" s="3" t="str">
        <f t="shared" ca="1" si="2"/>
        <v>'Drake University',</v>
      </c>
    </row>
    <row r="488" spans="1:9">
      <c r="A488" s="1" t="s">
        <v>486</v>
      </c>
      <c r="B488" s="3" t="str">
        <f ca="1">IFERROR(__xludf.DUMMYFUNCTION("SPLIT(A488,"","")"),"US")</f>
        <v>US</v>
      </c>
      <c r="C488" s="3" t="str">
        <f ca="1">IFERROR(__xludf.DUMMYFUNCTION("""COMPUTED_VALUE"""),"Drew University")</f>
        <v>Drew University</v>
      </c>
      <c r="D488" s="4" t="str">
        <f ca="1">IFERROR(__xludf.DUMMYFUNCTION("""COMPUTED_VALUE"""),"http://www.drew.edu/")</f>
        <v>http://www.drew.edu/</v>
      </c>
      <c r="G488" s="2" t="str">
        <f t="shared" ca="1" si="0"/>
        <v>Drew University</v>
      </c>
      <c r="H488" s="5" t="str">
        <f t="shared" ca="1" si="1"/>
        <v>Drew University</v>
      </c>
      <c r="I488" s="3" t="str">
        <f t="shared" ca="1" si="2"/>
        <v>'Drew University',</v>
      </c>
    </row>
    <row r="489" spans="1:9">
      <c r="A489" s="1" t="s">
        <v>487</v>
      </c>
      <c r="B489" s="3" t="str">
        <f ca="1">IFERROR(__xludf.DUMMYFUNCTION("SPLIT(A489,"","")"),"US")</f>
        <v>US</v>
      </c>
      <c r="C489" s="3" t="str">
        <f ca="1">IFERROR(__xludf.DUMMYFUNCTION("""COMPUTED_VALUE"""),"Drexel University")</f>
        <v>Drexel University</v>
      </c>
      <c r="D489" s="4" t="str">
        <f ca="1">IFERROR(__xludf.DUMMYFUNCTION("""COMPUTED_VALUE"""),"http://www.drexel.edu/")</f>
        <v>http://www.drexel.edu/</v>
      </c>
      <c r="G489" s="2" t="str">
        <f t="shared" ca="1" si="0"/>
        <v>Drexel University</v>
      </c>
      <c r="H489" s="5" t="str">
        <f t="shared" ca="1" si="1"/>
        <v>Drexel University</v>
      </c>
      <c r="I489" s="3" t="str">
        <f t="shared" ca="1" si="2"/>
        <v>'Drexel University',</v>
      </c>
    </row>
    <row r="490" spans="1:9">
      <c r="A490" s="1" t="s">
        <v>488</v>
      </c>
      <c r="B490" s="3" t="str">
        <f ca="1">IFERROR(__xludf.DUMMYFUNCTION("SPLIT(A490,"","")"),"US")</f>
        <v>US</v>
      </c>
      <c r="C490" s="3" t="str">
        <f ca="1">IFERROR(__xludf.DUMMYFUNCTION("""COMPUTED_VALUE"""),"Drury College")</f>
        <v>Drury College</v>
      </c>
      <c r="D490" s="4" t="str">
        <f ca="1">IFERROR(__xludf.DUMMYFUNCTION("""COMPUTED_VALUE"""),"http://www.drury.edu/")</f>
        <v>http://www.drury.edu/</v>
      </c>
      <c r="G490" s="2" t="str">
        <f t="shared" ca="1" si="0"/>
        <v>Drury College</v>
      </c>
      <c r="H490" s="5" t="str">
        <f t="shared" ca="1" si="1"/>
        <v>Drury College</v>
      </c>
      <c r="I490" s="3" t="str">
        <f t="shared" ca="1" si="2"/>
        <v>'Drury College',</v>
      </c>
    </row>
    <row r="491" spans="1:9">
      <c r="A491" s="1" t="s">
        <v>489</v>
      </c>
      <c r="B491" s="3" t="str">
        <f ca="1">IFERROR(__xludf.DUMMYFUNCTION("SPLIT(A491,"","")"),"US")</f>
        <v>US</v>
      </c>
      <c r="C491" s="3" t="str">
        <f ca="1">IFERROR(__xludf.DUMMYFUNCTION("""COMPUTED_VALUE"""),"Duke University")</f>
        <v>Duke University</v>
      </c>
      <c r="D491" s="4" t="str">
        <f ca="1">IFERROR(__xludf.DUMMYFUNCTION("""COMPUTED_VALUE"""),"http://www.duke.edu/")</f>
        <v>http://www.duke.edu/</v>
      </c>
      <c r="G491" s="2" t="str">
        <f t="shared" ca="1" si="0"/>
        <v>Duke University</v>
      </c>
      <c r="H491" s="5" t="str">
        <f t="shared" ca="1" si="1"/>
        <v>Duke University</v>
      </c>
      <c r="I491" s="3" t="str">
        <f t="shared" ca="1" si="2"/>
        <v>'Duke University',</v>
      </c>
    </row>
    <row r="492" spans="1:9">
      <c r="A492" s="1" t="s">
        <v>490</v>
      </c>
      <c r="B492" s="3" t="str">
        <f ca="1">IFERROR(__xludf.DUMMYFUNCTION("SPLIT(A492,"","")"),"US")</f>
        <v>US</v>
      </c>
      <c r="C492" s="3" t="str">
        <f ca="1">IFERROR(__xludf.DUMMYFUNCTION("""COMPUTED_VALUE"""),"Duluth Business University")</f>
        <v>Duluth Business University</v>
      </c>
      <c r="D492" s="4" t="str">
        <f ca="1">IFERROR(__xludf.DUMMYFUNCTION("""COMPUTED_VALUE"""),"http://www.dbumn.edu/")</f>
        <v>http://www.dbumn.edu/</v>
      </c>
      <c r="G492" s="2" t="str">
        <f t="shared" ca="1" si="0"/>
        <v>Duluth Business University</v>
      </c>
      <c r="H492" s="5" t="str">
        <f t="shared" ca="1" si="1"/>
        <v>Duluth Business University</v>
      </c>
      <c r="I492" s="3" t="str">
        <f t="shared" ca="1" si="2"/>
        <v>'Duluth Business University',</v>
      </c>
    </row>
    <row r="493" spans="1:9">
      <c r="A493" s="1" t="s">
        <v>491</v>
      </c>
      <c r="B493" s="3" t="str">
        <f ca="1">IFERROR(__xludf.DUMMYFUNCTION("SPLIT(A493,"","")"),"US")</f>
        <v>US</v>
      </c>
      <c r="C493" s="3" t="str">
        <f ca="1">IFERROR(__xludf.DUMMYFUNCTION("""COMPUTED_VALUE"""),"Duquesne University")</f>
        <v>Duquesne University</v>
      </c>
      <c r="D493" s="4" t="str">
        <f ca="1">IFERROR(__xludf.DUMMYFUNCTION("""COMPUTED_VALUE"""),"http://www.duq.edu/")</f>
        <v>http://www.duq.edu/</v>
      </c>
      <c r="G493" s="2" t="str">
        <f t="shared" ca="1" si="0"/>
        <v>Duquesne University</v>
      </c>
      <c r="H493" s="5" t="str">
        <f t="shared" ca="1" si="1"/>
        <v>Duquesne University</v>
      </c>
      <c r="I493" s="3" t="str">
        <f t="shared" ca="1" si="2"/>
        <v>'Duquesne University',</v>
      </c>
    </row>
    <row r="494" spans="1:9">
      <c r="A494" s="1" t="s">
        <v>492</v>
      </c>
      <c r="B494" s="3" t="str">
        <f ca="1">IFERROR(__xludf.DUMMYFUNCTION("SPLIT(A494,"","")"),"US")</f>
        <v>US</v>
      </c>
      <c r="C494" s="3" t="str">
        <f ca="1">IFERROR(__xludf.DUMMYFUNCTION("""COMPUTED_VALUE"""),"D'Youville College")</f>
        <v>D'Youville College</v>
      </c>
      <c r="D494" s="4" t="str">
        <f ca="1">IFERROR(__xludf.DUMMYFUNCTION("""COMPUTED_VALUE"""),"http://www.dyc.edu/")</f>
        <v>http://www.dyc.edu/</v>
      </c>
      <c r="G494" s="2" t="str">
        <f t="shared" ca="1" si="0"/>
        <v>D'Youville College</v>
      </c>
      <c r="H494" s="5" t="str">
        <f t="shared" ca="1" si="1"/>
        <v>D'Youville College</v>
      </c>
      <c r="I494" s="3" t="str">
        <f t="shared" ca="1" si="2"/>
        <v>'D'Youville College',</v>
      </c>
    </row>
    <row r="495" spans="1:9">
      <c r="A495" s="1" t="s">
        <v>493</v>
      </c>
      <c r="B495" s="3" t="str">
        <f ca="1">IFERROR(__xludf.DUMMYFUNCTION("SPLIT(A495,"","")"),"US")</f>
        <v>US</v>
      </c>
      <c r="C495" s="3" t="str">
        <f ca="1">IFERROR(__xludf.DUMMYFUNCTION("""COMPUTED_VALUE"""),"Earlham College")</f>
        <v>Earlham College</v>
      </c>
      <c r="D495" s="4" t="str">
        <f ca="1">IFERROR(__xludf.DUMMYFUNCTION("""COMPUTED_VALUE"""),"http://www.earlham.edu/")</f>
        <v>http://www.earlham.edu/</v>
      </c>
      <c r="G495" s="2" t="str">
        <f t="shared" ca="1" si="0"/>
        <v>Earlham College</v>
      </c>
      <c r="H495" s="5" t="str">
        <f t="shared" ca="1" si="1"/>
        <v>Earlham College</v>
      </c>
      <c r="I495" s="3" t="str">
        <f t="shared" ca="1" si="2"/>
        <v>'Earlham College',</v>
      </c>
    </row>
    <row r="496" spans="1:9">
      <c r="A496" s="1" t="s">
        <v>494</v>
      </c>
      <c r="B496" s="3" t="str">
        <f ca="1">IFERROR(__xludf.DUMMYFUNCTION("SPLIT(A496,"","")"),"US")</f>
        <v>US</v>
      </c>
      <c r="C496" s="3" t="str">
        <f ca="1">IFERROR(__xludf.DUMMYFUNCTION("""COMPUTED_VALUE"""),"EarthNet Institute")</f>
        <v>EarthNet Institute</v>
      </c>
      <c r="D496" s="4" t="str">
        <f ca="1">IFERROR(__xludf.DUMMYFUNCTION("""COMPUTED_VALUE"""),"http://www.eni.edu/")</f>
        <v>http://www.eni.edu/</v>
      </c>
      <c r="G496" s="2" t="str">
        <f t="shared" ca="1" si="0"/>
        <v>EarthNet Institute</v>
      </c>
      <c r="H496" s="5" t="str">
        <f t="shared" ca="1" si="1"/>
        <v>EarthNet Institute</v>
      </c>
      <c r="I496" s="3" t="str">
        <f t="shared" ca="1" si="2"/>
        <v>'EarthNet Institute',</v>
      </c>
    </row>
    <row r="497" spans="1:9">
      <c r="A497" s="1" t="s">
        <v>495</v>
      </c>
      <c r="B497" s="3" t="str">
        <f ca="1">IFERROR(__xludf.DUMMYFUNCTION("SPLIT(A497,"","")"),"US")</f>
        <v>US</v>
      </c>
      <c r="C497" s="3" t="str">
        <f ca="1">IFERROR(__xludf.DUMMYFUNCTION("""COMPUTED_VALUE"""),"East Carolina University")</f>
        <v>East Carolina University</v>
      </c>
      <c r="D497" s="4" t="str">
        <f ca="1">IFERROR(__xludf.DUMMYFUNCTION("""COMPUTED_VALUE"""),"http://www.ecu.edu/")</f>
        <v>http://www.ecu.edu/</v>
      </c>
      <c r="G497" s="2" t="str">
        <f t="shared" ca="1" si="0"/>
        <v>East Carolina University</v>
      </c>
      <c r="H497" s="5" t="str">
        <f t="shared" ca="1" si="1"/>
        <v>East Carolina University</v>
      </c>
      <c r="I497" s="3" t="str">
        <f t="shared" ca="1" si="2"/>
        <v>'East Carolina University',</v>
      </c>
    </row>
    <row r="498" spans="1:9">
      <c r="A498" s="1" t="s">
        <v>496</v>
      </c>
      <c r="B498" s="3" t="str">
        <f ca="1">IFERROR(__xludf.DUMMYFUNCTION("SPLIT(A498,"","")"),"US")</f>
        <v>US</v>
      </c>
      <c r="C498" s="3" t="str">
        <f ca="1">IFERROR(__xludf.DUMMYFUNCTION("""COMPUTED_VALUE"""),"East Central University")</f>
        <v>East Central University</v>
      </c>
      <c r="D498" s="4" t="str">
        <f ca="1">IFERROR(__xludf.DUMMYFUNCTION("""COMPUTED_VALUE"""),"http://www.ecok.edu/")</f>
        <v>http://www.ecok.edu/</v>
      </c>
      <c r="G498" s="2" t="str">
        <f t="shared" ca="1" si="0"/>
        <v>East Central University</v>
      </c>
      <c r="H498" s="5" t="str">
        <f t="shared" ca="1" si="1"/>
        <v>East Central University</v>
      </c>
      <c r="I498" s="3" t="str">
        <f t="shared" ca="1" si="2"/>
        <v>'East Central University',</v>
      </c>
    </row>
    <row r="499" spans="1:9">
      <c r="A499" s="1" t="s">
        <v>497</v>
      </c>
      <c r="B499" s="3" t="str">
        <f ca="1">IFERROR(__xludf.DUMMYFUNCTION("SPLIT(A499,"","")"),"US")</f>
        <v>US</v>
      </c>
      <c r="C499" s="3" t="str">
        <f ca="1">IFERROR(__xludf.DUMMYFUNCTION("""COMPUTED_VALUE"""),"Eastern College")</f>
        <v>Eastern College</v>
      </c>
      <c r="D499" s="4" t="str">
        <f ca="1">IFERROR(__xludf.DUMMYFUNCTION("""COMPUTED_VALUE"""),"http://www.eastern.edu/")</f>
        <v>http://www.eastern.edu/</v>
      </c>
      <c r="G499" s="2" t="str">
        <f t="shared" ca="1" si="0"/>
        <v>Eastern College</v>
      </c>
      <c r="H499" s="5" t="str">
        <f t="shared" ca="1" si="1"/>
        <v>Eastern College</v>
      </c>
      <c r="I499" s="3" t="str">
        <f t="shared" ca="1" si="2"/>
        <v>'Eastern College',</v>
      </c>
    </row>
    <row r="500" spans="1:9">
      <c r="A500" s="1" t="s">
        <v>498</v>
      </c>
      <c r="B500" s="3" t="str">
        <f ca="1">IFERROR(__xludf.DUMMYFUNCTION("SPLIT(A500,"","")"),"US")</f>
        <v>US</v>
      </c>
      <c r="C500" s="3" t="str">
        <f ca="1">IFERROR(__xludf.DUMMYFUNCTION("""COMPUTED_VALUE"""),"Eastern Connecticut State University")</f>
        <v>Eastern Connecticut State University</v>
      </c>
      <c r="D500" s="4" t="str">
        <f ca="1">IFERROR(__xludf.DUMMYFUNCTION("""COMPUTED_VALUE"""),"http://www.ecsu.ctstateu.edu/")</f>
        <v>http://www.ecsu.ctstateu.edu/</v>
      </c>
      <c r="G500" s="2" t="str">
        <f t="shared" ca="1" si="0"/>
        <v>Eastern Connecticut State University</v>
      </c>
      <c r="H500" s="5" t="str">
        <f t="shared" ca="1" si="1"/>
        <v>Eastern Connecticut State University</v>
      </c>
      <c r="I500" s="3" t="str">
        <f t="shared" ca="1" si="2"/>
        <v>'Eastern Connecticut State University',</v>
      </c>
    </row>
    <row r="501" spans="1:9">
      <c r="A501" s="1" t="s">
        <v>499</v>
      </c>
      <c r="B501" s="3" t="str">
        <f ca="1">IFERROR(__xludf.DUMMYFUNCTION("SPLIT(A501,"","")"),"US")</f>
        <v>US</v>
      </c>
      <c r="C501" s="3" t="str">
        <f ca="1">IFERROR(__xludf.DUMMYFUNCTION("""COMPUTED_VALUE"""),"Eastern Conservatory of Music")</f>
        <v>Eastern Conservatory of Music</v>
      </c>
      <c r="D501" s="4" t="str">
        <f ca="1">IFERROR(__xludf.DUMMYFUNCTION("""COMPUTED_VALUE"""),"http://easternconservatory-music.org/")</f>
        <v>http://easternconservatory-music.org/</v>
      </c>
      <c r="G501" s="2" t="str">
        <f t="shared" ca="1" si="0"/>
        <v>Eastern Conservatory of Music</v>
      </c>
      <c r="H501" s="5" t="str">
        <f t="shared" ca="1" si="1"/>
        <v>Eastern Conservatory of Music</v>
      </c>
      <c r="I501" s="3" t="str">
        <f t="shared" ca="1" si="2"/>
        <v>'Eastern Conservatory of Music',</v>
      </c>
    </row>
    <row r="502" spans="1:9">
      <c r="A502" s="1" t="s">
        <v>500</v>
      </c>
      <c r="B502" s="3" t="str">
        <f ca="1">IFERROR(__xludf.DUMMYFUNCTION("SPLIT(A502,"","")"),"US")</f>
        <v>US</v>
      </c>
      <c r="C502" s="3" t="str">
        <f ca="1">IFERROR(__xludf.DUMMYFUNCTION("""COMPUTED_VALUE"""),"Eastern Illinois University")</f>
        <v>Eastern Illinois University</v>
      </c>
      <c r="D502" s="4" t="str">
        <f ca="1">IFERROR(__xludf.DUMMYFUNCTION("""COMPUTED_VALUE"""),"http://www.eiu.edu/")</f>
        <v>http://www.eiu.edu/</v>
      </c>
      <c r="G502" s="2" t="str">
        <f t="shared" ca="1" si="0"/>
        <v>Eastern Illinois University</v>
      </c>
      <c r="H502" s="5" t="str">
        <f t="shared" ca="1" si="1"/>
        <v>Eastern Illinois University</v>
      </c>
      <c r="I502" s="3" t="str">
        <f t="shared" ca="1" si="2"/>
        <v>'Eastern Illinois University',</v>
      </c>
    </row>
    <row r="503" spans="1:9">
      <c r="A503" s="1" t="s">
        <v>501</v>
      </c>
      <c r="B503" s="3" t="str">
        <f ca="1">IFERROR(__xludf.DUMMYFUNCTION("SPLIT(A503,"","")"),"US")</f>
        <v>US</v>
      </c>
      <c r="C503" s="3" t="str">
        <f ca="1">IFERROR(__xludf.DUMMYFUNCTION("""COMPUTED_VALUE"""),"Eastern Kentucky University")</f>
        <v>Eastern Kentucky University</v>
      </c>
      <c r="D503" s="4" t="str">
        <f ca="1">IFERROR(__xludf.DUMMYFUNCTION("""COMPUTED_VALUE"""),"http://www.eku.edu/")</f>
        <v>http://www.eku.edu/</v>
      </c>
      <c r="G503" s="2" t="str">
        <f t="shared" ca="1" si="0"/>
        <v>Eastern Kentucky University</v>
      </c>
      <c r="H503" s="5" t="str">
        <f t="shared" ca="1" si="1"/>
        <v>Eastern Kentucky University</v>
      </c>
      <c r="I503" s="3" t="str">
        <f t="shared" ca="1" si="2"/>
        <v>'Eastern Kentucky University',</v>
      </c>
    </row>
    <row r="504" spans="1:9">
      <c r="A504" s="1" t="s">
        <v>502</v>
      </c>
      <c r="B504" s="3" t="str">
        <f ca="1">IFERROR(__xludf.DUMMYFUNCTION("SPLIT(A504,"","")"),"US")</f>
        <v>US</v>
      </c>
      <c r="C504" s="3" t="str">
        <f ca="1">IFERROR(__xludf.DUMMYFUNCTION("""COMPUTED_VALUE"""),"Eastern Mennonite University")</f>
        <v>Eastern Mennonite University</v>
      </c>
      <c r="D504" s="4" t="str">
        <f ca="1">IFERROR(__xludf.DUMMYFUNCTION("""COMPUTED_VALUE"""),"http://www.emu.edu/")</f>
        <v>http://www.emu.edu/</v>
      </c>
      <c r="G504" s="2" t="str">
        <f t="shared" ca="1" si="0"/>
        <v>Eastern Mennonite University</v>
      </c>
      <c r="H504" s="5" t="str">
        <f t="shared" ca="1" si="1"/>
        <v>Eastern Mennonite University</v>
      </c>
      <c r="I504" s="3" t="str">
        <f t="shared" ca="1" si="2"/>
        <v>'Eastern Mennonite University',</v>
      </c>
    </row>
    <row r="505" spans="1:9">
      <c r="A505" s="1" t="s">
        <v>503</v>
      </c>
      <c r="B505" s="3" t="str">
        <f ca="1">IFERROR(__xludf.DUMMYFUNCTION("SPLIT(A505,"","")"),"US")</f>
        <v>US</v>
      </c>
      <c r="C505" s="3" t="str">
        <f ca="1">IFERROR(__xludf.DUMMYFUNCTION("""COMPUTED_VALUE"""),"Eastern Michigan University")</f>
        <v>Eastern Michigan University</v>
      </c>
      <c r="D505" s="4" t="str">
        <f ca="1">IFERROR(__xludf.DUMMYFUNCTION("""COMPUTED_VALUE"""),"http://www.emich.edu/")</f>
        <v>http://www.emich.edu/</v>
      </c>
      <c r="G505" s="2" t="str">
        <f t="shared" ca="1" si="0"/>
        <v>Eastern Michigan University</v>
      </c>
      <c r="H505" s="5" t="str">
        <f t="shared" ca="1" si="1"/>
        <v>Eastern Michigan University</v>
      </c>
      <c r="I505" s="3" t="str">
        <f t="shared" ca="1" si="2"/>
        <v>'Eastern Michigan University',</v>
      </c>
    </row>
    <row r="506" spans="1:9">
      <c r="A506" s="1" t="s">
        <v>504</v>
      </c>
      <c r="B506" s="3" t="str">
        <f ca="1">IFERROR(__xludf.DUMMYFUNCTION("SPLIT(A506,"","")"),"US")</f>
        <v>US</v>
      </c>
      <c r="C506" s="3" t="str">
        <f ca="1">IFERROR(__xludf.DUMMYFUNCTION("""COMPUTED_VALUE"""),"Eastern Nazarene College")</f>
        <v>Eastern Nazarene College</v>
      </c>
      <c r="D506" s="4" t="str">
        <f ca="1">IFERROR(__xludf.DUMMYFUNCTION("""COMPUTED_VALUE"""),"http://www.enc.edu/")</f>
        <v>http://www.enc.edu/</v>
      </c>
      <c r="G506" s="2" t="str">
        <f t="shared" ca="1" si="0"/>
        <v>Eastern Nazarene College</v>
      </c>
      <c r="H506" s="5" t="str">
        <f t="shared" ca="1" si="1"/>
        <v>Eastern Nazarene College</v>
      </c>
      <c r="I506" s="3" t="str">
        <f t="shared" ca="1" si="2"/>
        <v>'Eastern Nazarene College',</v>
      </c>
    </row>
    <row r="507" spans="1:9">
      <c r="A507" s="1" t="s">
        <v>505</v>
      </c>
      <c r="B507" s="3" t="str">
        <f ca="1">IFERROR(__xludf.DUMMYFUNCTION("SPLIT(A507,"","")"),"US")</f>
        <v>US</v>
      </c>
      <c r="C507" s="3" t="str">
        <f ca="1">IFERROR(__xludf.DUMMYFUNCTION("""COMPUTED_VALUE"""),"Eastern New Mexico University")</f>
        <v>Eastern New Mexico University</v>
      </c>
      <c r="D507" s="4" t="str">
        <f ca="1">IFERROR(__xludf.DUMMYFUNCTION("""COMPUTED_VALUE"""),"http://www.enmu.edu/")</f>
        <v>http://www.enmu.edu/</v>
      </c>
      <c r="G507" s="2" t="str">
        <f t="shared" ca="1" si="0"/>
        <v>Eastern New Mexico University</v>
      </c>
      <c r="H507" s="5" t="str">
        <f t="shared" ca="1" si="1"/>
        <v>Eastern New Mexico University</v>
      </c>
      <c r="I507" s="3" t="str">
        <f t="shared" ca="1" si="2"/>
        <v>'Eastern New Mexico University',</v>
      </c>
    </row>
    <row r="508" spans="1:9">
      <c r="A508" s="1" t="s">
        <v>506</v>
      </c>
      <c r="B508" s="3" t="str">
        <f ca="1">IFERROR(__xludf.DUMMYFUNCTION("SPLIT(A508,"","")"),"US")</f>
        <v>US</v>
      </c>
      <c r="C508" s="3" t="str">
        <f ca="1">IFERROR(__xludf.DUMMYFUNCTION("""COMPUTED_VALUE"""),"Eastern Oregon University")</f>
        <v>Eastern Oregon University</v>
      </c>
      <c r="D508" s="4" t="str">
        <f ca="1">IFERROR(__xludf.DUMMYFUNCTION("""COMPUTED_VALUE"""),"http://www.eou.edu/")</f>
        <v>http://www.eou.edu/</v>
      </c>
      <c r="G508" s="2" t="str">
        <f t="shared" ca="1" si="0"/>
        <v>Eastern Oregon University</v>
      </c>
      <c r="H508" s="5" t="str">
        <f t="shared" ca="1" si="1"/>
        <v>Eastern Oregon University</v>
      </c>
      <c r="I508" s="3" t="str">
        <f t="shared" ca="1" si="2"/>
        <v>'Eastern Oregon University',</v>
      </c>
    </row>
    <row r="509" spans="1:9">
      <c r="A509" s="1" t="s">
        <v>507</v>
      </c>
      <c r="B509" s="3" t="str">
        <f ca="1">IFERROR(__xludf.DUMMYFUNCTION("SPLIT(A509,"","")"),"US")</f>
        <v>US</v>
      </c>
      <c r="C509" s="3" t="str">
        <f ca="1">IFERROR(__xludf.DUMMYFUNCTION("""COMPUTED_VALUE"""),"Eastern Virginia Medical School")</f>
        <v>Eastern Virginia Medical School</v>
      </c>
      <c r="D509" s="4" t="str">
        <f ca="1">IFERROR(__xludf.DUMMYFUNCTION("""COMPUTED_VALUE"""),"http://www.evms.edu/")</f>
        <v>http://www.evms.edu/</v>
      </c>
      <c r="G509" s="2" t="str">
        <f t="shared" ca="1" si="0"/>
        <v>Eastern Virginia Medical School</v>
      </c>
      <c r="H509" s="5" t="str">
        <f t="shared" ca="1" si="1"/>
        <v>Eastern Virginia Medical School</v>
      </c>
      <c r="I509" s="3" t="str">
        <f t="shared" ca="1" si="2"/>
        <v>'Eastern Virginia Medical School',</v>
      </c>
    </row>
    <row r="510" spans="1:9">
      <c r="A510" s="1" t="s">
        <v>508</v>
      </c>
      <c r="B510" s="3" t="str">
        <f ca="1">IFERROR(__xludf.DUMMYFUNCTION("SPLIT(A510,"","")"),"US")</f>
        <v>US</v>
      </c>
      <c r="C510" s="3" t="str">
        <f ca="1">IFERROR(__xludf.DUMMYFUNCTION("""COMPUTED_VALUE"""),"Eastern Washington University")</f>
        <v>Eastern Washington University</v>
      </c>
      <c r="D510" s="4" t="str">
        <f ca="1">IFERROR(__xludf.DUMMYFUNCTION("""COMPUTED_VALUE"""),"http://www.ewu.edu/")</f>
        <v>http://www.ewu.edu/</v>
      </c>
      <c r="G510" s="2" t="str">
        <f t="shared" ca="1" si="0"/>
        <v>Eastern Washington University</v>
      </c>
      <c r="H510" s="5" t="str">
        <f t="shared" ca="1" si="1"/>
        <v>Eastern Washington University</v>
      </c>
      <c r="I510" s="3" t="str">
        <f t="shared" ca="1" si="2"/>
        <v>'Eastern Washington University',</v>
      </c>
    </row>
    <row r="511" spans="1:9">
      <c r="A511" s="1" t="s">
        <v>509</v>
      </c>
      <c r="B511" s="3" t="str">
        <f ca="1">IFERROR(__xludf.DUMMYFUNCTION("SPLIT(A511,"","")"),"US")</f>
        <v>US</v>
      </c>
      <c r="C511" s="3" t="str">
        <f ca="1">IFERROR(__xludf.DUMMYFUNCTION("""COMPUTED_VALUE"""),"East Stroudsburg State University")</f>
        <v>East Stroudsburg State University</v>
      </c>
      <c r="D511" s="4" t="str">
        <f ca="1">IFERROR(__xludf.DUMMYFUNCTION("""COMPUTED_VALUE"""),"http://www.esu.edu/")</f>
        <v>http://www.esu.edu/</v>
      </c>
      <c r="G511" s="2" t="str">
        <f t="shared" ca="1" si="0"/>
        <v>East Stroudsburg State University</v>
      </c>
      <c r="H511" s="5" t="str">
        <f t="shared" ca="1" si="1"/>
        <v>East Stroudsburg State University</v>
      </c>
      <c r="I511" s="3" t="str">
        <f t="shared" ca="1" si="2"/>
        <v>'East Stroudsburg State University',</v>
      </c>
    </row>
    <row r="512" spans="1:9">
      <c r="A512" s="1" t="s">
        <v>510</v>
      </c>
      <c r="B512" s="3" t="str">
        <f ca="1">IFERROR(__xludf.DUMMYFUNCTION("SPLIT(A512,"","")"),"US")</f>
        <v>US</v>
      </c>
      <c r="C512" s="3" t="str">
        <f ca="1">IFERROR(__xludf.DUMMYFUNCTION("""COMPUTED_VALUE"""),"East Tennessee State University")</f>
        <v>East Tennessee State University</v>
      </c>
      <c r="D512" s="4" t="str">
        <f ca="1">IFERROR(__xludf.DUMMYFUNCTION("""COMPUTED_VALUE"""),"http://www.etsu.edu/")</f>
        <v>http://www.etsu.edu/</v>
      </c>
      <c r="G512" s="2" t="str">
        <f t="shared" ca="1" si="0"/>
        <v>East Tennessee State University</v>
      </c>
      <c r="H512" s="5" t="str">
        <f t="shared" ca="1" si="1"/>
        <v>East Tennessee State University</v>
      </c>
      <c r="I512" s="3" t="str">
        <f t="shared" ca="1" si="2"/>
        <v>'East Tennessee State University',</v>
      </c>
    </row>
    <row r="513" spans="1:9">
      <c r="A513" s="1" t="s">
        <v>511</v>
      </c>
      <c r="B513" s="3" t="str">
        <f ca="1">IFERROR(__xludf.DUMMYFUNCTION("SPLIT(A513,"","")"),"US")</f>
        <v>US</v>
      </c>
      <c r="C513" s="3" t="str">
        <f ca="1">IFERROR(__xludf.DUMMYFUNCTION("""COMPUTED_VALUE"""),"East Texas Baptist University")</f>
        <v>East Texas Baptist University</v>
      </c>
      <c r="D513" s="4" t="str">
        <f ca="1">IFERROR(__xludf.DUMMYFUNCTION("""COMPUTED_VALUE"""),"http://www.etbu.edu/")</f>
        <v>http://www.etbu.edu/</v>
      </c>
      <c r="G513" s="2" t="str">
        <f t="shared" ca="1" si="0"/>
        <v>East Texas Baptist University</v>
      </c>
      <c r="H513" s="5" t="str">
        <f t="shared" ca="1" si="1"/>
        <v>East Texas Baptist University</v>
      </c>
      <c r="I513" s="3" t="str">
        <f t="shared" ca="1" si="2"/>
        <v>'East Texas Baptist University',</v>
      </c>
    </row>
    <row r="514" spans="1:9">
      <c r="A514" s="1" t="s">
        <v>512</v>
      </c>
      <c r="B514" s="3" t="str">
        <f ca="1">IFERROR(__xludf.DUMMYFUNCTION("SPLIT(A514,"","")"),"US")</f>
        <v>US</v>
      </c>
      <c r="C514" s="3" t="str">
        <f ca="1">IFERROR(__xludf.DUMMYFUNCTION("""COMPUTED_VALUE"""),"East-West University")</f>
        <v>East-West University</v>
      </c>
      <c r="D514" s="4" t="str">
        <f ca="1">IFERROR(__xludf.DUMMYFUNCTION("""COMPUTED_VALUE"""),"http://www.eastwest.edu/")</f>
        <v>http://www.eastwest.edu/</v>
      </c>
      <c r="G514" s="2" t="str">
        <f t="shared" ca="1" si="0"/>
        <v>East-West University</v>
      </c>
      <c r="H514" s="5" t="str">
        <f t="shared" ca="1" si="1"/>
        <v>East-West University</v>
      </c>
      <c r="I514" s="3" t="str">
        <f t="shared" ca="1" si="2"/>
        <v>'East-West University',</v>
      </c>
    </row>
    <row r="515" spans="1:9">
      <c r="A515" s="1" t="s">
        <v>513</v>
      </c>
      <c r="B515" s="3" t="str">
        <f ca="1">IFERROR(__xludf.DUMMYFUNCTION("SPLIT(A515,"","")"),"US")</f>
        <v>US</v>
      </c>
      <c r="C515" s="3" t="str">
        <f ca="1">IFERROR(__xludf.DUMMYFUNCTION("""COMPUTED_VALUE"""),"Eckerd College")</f>
        <v>Eckerd College</v>
      </c>
      <c r="D515" s="4" t="str">
        <f ca="1">IFERROR(__xludf.DUMMYFUNCTION("""COMPUTED_VALUE"""),"http://www.eckerd.edu/")</f>
        <v>http://www.eckerd.edu/</v>
      </c>
      <c r="G515" s="2" t="str">
        <f t="shared" ca="1" si="0"/>
        <v>Eckerd College</v>
      </c>
      <c r="H515" s="5" t="str">
        <f t="shared" ca="1" si="1"/>
        <v>Eckerd College</v>
      </c>
      <c r="I515" s="3" t="str">
        <f t="shared" ca="1" si="2"/>
        <v>'Eckerd College',</v>
      </c>
    </row>
    <row r="516" spans="1:9">
      <c r="A516" s="1" t="s">
        <v>514</v>
      </c>
      <c r="B516" s="3" t="str">
        <f ca="1">IFERROR(__xludf.DUMMYFUNCTION("SPLIT(A516,"","")"),"US")</f>
        <v>US</v>
      </c>
      <c r="C516" s="3" t="str">
        <f ca="1">IFERROR(__xludf.DUMMYFUNCTION("""COMPUTED_VALUE"""),"Edgewood College")</f>
        <v>Edgewood College</v>
      </c>
      <c r="D516" s="4" t="str">
        <f ca="1">IFERROR(__xludf.DUMMYFUNCTION("""COMPUTED_VALUE"""),"http://www.edgewood.edu/")</f>
        <v>http://www.edgewood.edu/</v>
      </c>
      <c r="G516" s="2" t="str">
        <f t="shared" ca="1" si="0"/>
        <v>Edgewood College</v>
      </c>
      <c r="H516" s="5" t="str">
        <f t="shared" ca="1" si="1"/>
        <v>Edgewood College</v>
      </c>
      <c r="I516" s="3" t="str">
        <f t="shared" ca="1" si="2"/>
        <v>'Edgewood College',</v>
      </c>
    </row>
    <row r="517" spans="1:9">
      <c r="A517" s="1" t="s">
        <v>515</v>
      </c>
      <c r="B517" s="3" t="str">
        <f ca="1">IFERROR(__xludf.DUMMYFUNCTION("SPLIT(A517,"","")"),"US")</f>
        <v>US</v>
      </c>
      <c r="C517" s="3" t="str">
        <f ca="1">IFERROR(__xludf.DUMMYFUNCTION("""COMPUTED_VALUE"""),"Edinboro University of Pennsylvania")</f>
        <v>Edinboro University of Pennsylvania</v>
      </c>
      <c r="D517" s="4" t="str">
        <f ca="1">IFERROR(__xludf.DUMMYFUNCTION("""COMPUTED_VALUE"""),"http://www.edinboro.edu/")</f>
        <v>http://www.edinboro.edu/</v>
      </c>
      <c r="G517" s="2" t="str">
        <f t="shared" ca="1" si="0"/>
        <v>Edinboro University of Pennsylvania</v>
      </c>
      <c r="H517" s="5" t="str">
        <f t="shared" ca="1" si="1"/>
        <v>Edinboro University of Pennsylvania</v>
      </c>
      <c r="I517" s="3" t="str">
        <f t="shared" ca="1" si="2"/>
        <v>'Edinboro University of Pennsylvania',</v>
      </c>
    </row>
    <row r="518" spans="1:9">
      <c r="A518" s="1" t="s">
        <v>516</v>
      </c>
      <c r="B518" s="3" t="str">
        <f ca="1">IFERROR(__xludf.DUMMYFUNCTION("SPLIT(A518,"","")"),"US")</f>
        <v>US</v>
      </c>
      <c r="C518" s="3" t="str">
        <f ca="1">IFERROR(__xludf.DUMMYFUNCTION("""COMPUTED_VALUE"""),"Edison Community College")</f>
        <v>Edison Community College</v>
      </c>
      <c r="D518" s="4" t="str">
        <f ca="1">IFERROR(__xludf.DUMMYFUNCTION("""COMPUTED_VALUE"""),"http://www.edison.edu/")</f>
        <v>http://www.edison.edu/</v>
      </c>
      <c r="G518" s="2" t="str">
        <f t="shared" ca="1" si="0"/>
        <v>Edison Community College</v>
      </c>
      <c r="H518" s="5" t="str">
        <f t="shared" ca="1" si="1"/>
        <v>Edison Community College</v>
      </c>
      <c r="I518" s="3" t="str">
        <f t="shared" ca="1" si="2"/>
        <v>'Edison Community College',</v>
      </c>
    </row>
    <row r="519" spans="1:9">
      <c r="A519" s="1" t="s">
        <v>517</v>
      </c>
      <c r="B519" s="3" t="str">
        <f ca="1">IFERROR(__xludf.DUMMYFUNCTION("SPLIT(A519,"","")"),"US")</f>
        <v>US</v>
      </c>
      <c r="C519" s="3" t="str">
        <f ca="1">IFERROR(__xludf.DUMMYFUNCTION("""COMPUTED_VALUE"""),"Edward Waters College")</f>
        <v>Edward Waters College</v>
      </c>
      <c r="D519" s="4" t="str">
        <f ca="1">IFERROR(__xludf.DUMMYFUNCTION("""COMPUTED_VALUE"""),"http://www.ewc.edu/")</f>
        <v>http://www.ewc.edu/</v>
      </c>
      <c r="G519" s="2" t="str">
        <f t="shared" ca="1" si="0"/>
        <v>Edward Waters College</v>
      </c>
      <c r="H519" s="5" t="str">
        <f t="shared" ca="1" si="1"/>
        <v>Edward Waters College</v>
      </c>
      <c r="I519" s="3" t="str">
        <f t="shared" ca="1" si="2"/>
        <v>'Edward Waters College',</v>
      </c>
    </row>
    <row r="520" spans="1:9">
      <c r="A520" s="1" t="s">
        <v>518</v>
      </c>
      <c r="B520" s="3" t="str">
        <f ca="1">IFERROR(__xludf.DUMMYFUNCTION("SPLIT(A520,"","")"),"US")</f>
        <v>US</v>
      </c>
      <c r="C520" s="3" t="str">
        <f ca="1">IFERROR(__xludf.DUMMYFUNCTION("""COMPUTED_VALUE"""),"Elizabeth City State University")</f>
        <v>Elizabeth City State University</v>
      </c>
      <c r="D520" s="4" t="str">
        <f ca="1">IFERROR(__xludf.DUMMYFUNCTION("""COMPUTED_VALUE"""),"http://www.ecsu.edu/")</f>
        <v>http://www.ecsu.edu/</v>
      </c>
      <c r="G520" s="2" t="str">
        <f t="shared" ca="1" si="0"/>
        <v>Elizabeth City State University</v>
      </c>
      <c r="H520" s="5" t="str">
        <f t="shared" ca="1" si="1"/>
        <v>Elizabeth City State University</v>
      </c>
      <c r="I520" s="3" t="str">
        <f t="shared" ca="1" si="2"/>
        <v>'Elizabeth City State University',</v>
      </c>
    </row>
    <row r="521" spans="1:9">
      <c r="A521" s="1" t="s">
        <v>519</v>
      </c>
      <c r="B521" s="3" t="str">
        <f ca="1">IFERROR(__xludf.DUMMYFUNCTION("SPLIT(A521,"","")"),"US")</f>
        <v>US</v>
      </c>
      <c r="C521" s="3" t="str">
        <f ca="1">IFERROR(__xludf.DUMMYFUNCTION("""COMPUTED_VALUE"""),"Elizabethtown College")</f>
        <v>Elizabethtown College</v>
      </c>
      <c r="D521" s="4" t="str">
        <f ca="1">IFERROR(__xludf.DUMMYFUNCTION("""COMPUTED_VALUE"""),"http://www.etown.edu/")</f>
        <v>http://www.etown.edu/</v>
      </c>
      <c r="G521" s="2" t="str">
        <f t="shared" ca="1" si="0"/>
        <v>Elizabethtown College</v>
      </c>
      <c r="H521" s="5" t="str">
        <f t="shared" ca="1" si="1"/>
        <v>Elizabethtown College</v>
      </c>
      <c r="I521" s="3" t="str">
        <f t="shared" ca="1" si="2"/>
        <v>'Elizabethtown College',</v>
      </c>
    </row>
    <row r="522" spans="1:9">
      <c r="A522" s="1" t="s">
        <v>520</v>
      </c>
      <c r="B522" s="3" t="str">
        <f ca="1">IFERROR(__xludf.DUMMYFUNCTION("SPLIT(A522,"","")"),"US")</f>
        <v>US</v>
      </c>
      <c r="C522" s="3" t="str">
        <f ca="1">IFERROR(__xludf.DUMMYFUNCTION("""COMPUTED_VALUE"""),"Elmhurst College")</f>
        <v>Elmhurst College</v>
      </c>
      <c r="D522" s="4" t="str">
        <f ca="1">IFERROR(__xludf.DUMMYFUNCTION("""COMPUTED_VALUE"""),"http://www.elmhurst.edu/")</f>
        <v>http://www.elmhurst.edu/</v>
      </c>
      <c r="G522" s="2" t="str">
        <f t="shared" ca="1" si="0"/>
        <v>Elmhurst College</v>
      </c>
      <c r="H522" s="5" t="str">
        <f t="shared" ca="1" si="1"/>
        <v>Elmhurst College</v>
      </c>
      <c r="I522" s="3" t="str">
        <f t="shared" ca="1" si="2"/>
        <v>'Elmhurst College',</v>
      </c>
    </row>
    <row r="523" spans="1:9">
      <c r="A523" s="1" t="s">
        <v>521</v>
      </c>
      <c r="B523" s="3" t="str">
        <f ca="1">IFERROR(__xludf.DUMMYFUNCTION("SPLIT(A523,"","")"),"US")</f>
        <v>US</v>
      </c>
      <c r="C523" s="3" t="str">
        <f ca="1">IFERROR(__xludf.DUMMYFUNCTION("""COMPUTED_VALUE"""),"Elmira College")</f>
        <v>Elmira College</v>
      </c>
      <c r="D523" s="4" t="str">
        <f ca="1">IFERROR(__xludf.DUMMYFUNCTION("""COMPUTED_VALUE"""),"http://www.elmira.edu/")</f>
        <v>http://www.elmira.edu/</v>
      </c>
      <c r="G523" s="2" t="str">
        <f t="shared" ca="1" si="0"/>
        <v>Elmira College</v>
      </c>
      <c r="H523" s="5" t="str">
        <f t="shared" ca="1" si="1"/>
        <v>Elmira College</v>
      </c>
      <c r="I523" s="3" t="str">
        <f t="shared" ca="1" si="2"/>
        <v>'Elmira College',</v>
      </c>
    </row>
    <row r="524" spans="1:9">
      <c r="A524" s="1" t="s">
        <v>522</v>
      </c>
      <c r="B524" s="3" t="str">
        <f ca="1">IFERROR(__xludf.DUMMYFUNCTION("SPLIT(A524,"","")"),"US")</f>
        <v>US</v>
      </c>
      <c r="C524" s="3" t="str">
        <f ca="1">IFERROR(__xludf.DUMMYFUNCTION("""COMPUTED_VALUE"""),"Elms College")</f>
        <v>Elms College</v>
      </c>
      <c r="D524" s="4" t="str">
        <f ca="1">IFERROR(__xludf.DUMMYFUNCTION("""COMPUTED_VALUE"""),"http://www.elms.edu/")</f>
        <v>http://www.elms.edu/</v>
      </c>
      <c r="G524" s="2" t="str">
        <f t="shared" ca="1" si="0"/>
        <v>Elms College</v>
      </c>
      <c r="H524" s="5" t="str">
        <f t="shared" ca="1" si="1"/>
        <v>Elms College</v>
      </c>
      <c r="I524" s="3" t="str">
        <f t="shared" ca="1" si="2"/>
        <v>'Elms College',</v>
      </c>
    </row>
    <row r="525" spans="1:9">
      <c r="A525" s="1" t="s">
        <v>523</v>
      </c>
      <c r="B525" s="3" t="str">
        <f ca="1">IFERROR(__xludf.DUMMYFUNCTION("SPLIT(A525,"","")"),"US")</f>
        <v>US</v>
      </c>
      <c r="C525" s="3" t="str">
        <f ca="1">IFERROR(__xludf.DUMMYFUNCTION("""COMPUTED_VALUE"""),"Elon College")</f>
        <v>Elon College</v>
      </c>
      <c r="D525" s="4" t="str">
        <f ca="1">IFERROR(__xludf.DUMMYFUNCTION("""COMPUTED_VALUE"""),"http://www.elon.edu/")</f>
        <v>http://www.elon.edu/</v>
      </c>
      <c r="G525" s="2" t="str">
        <f t="shared" ca="1" si="0"/>
        <v>Elon College</v>
      </c>
      <c r="H525" s="5" t="str">
        <f t="shared" ca="1" si="1"/>
        <v>Elon College</v>
      </c>
      <c r="I525" s="3" t="str">
        <f t="shared" ca="1" si="2"/>
        <v>'Elon College',</v>
      </c>
    </row>
    <row r="526" spans="1:9">
      <c r="A526" s="1" t="s">
        <v>524</v>
      </c>
      <c r="B526" s="3" t="str">
        <f ca="1">IFERROR(__xludf.DUMMYFUNCTION("SPLIT(A526,"","")"),"US")</f>
        <v>US</v>
      </c>
      <c r="C526" s="3" t="str">
        <f ca="1">IFERROR(__xludf.DUMMYFUNCTION("""COMPUTED_VALUE"""),"Embry-Riddle Aeronautical University")</f>
        <v>Embry-Riddle Aeronautical University</v>
      </c>
      <c r="D526" s="4" t="str">
        <f ca="1">IFERROR(__xludf.DUMMYFUNCTION("""COMPUTED_VALUE"""),"http://www.embryriddle.edu/")</f>
        <v>http://www.embryriddle.edu/</v>
      </c>
      <c r="G526" s="2" t="str">
        <f t="shared" ca="1" si="0"/>
        <v>Embry-Riddle Aeronautical University</v>
      </c>
      <c r="H526" s="5" t="str">
        <f t="shared" ca="1" si="1"/>
        <v>Embry-Riddle Aeronautical University</v>
      </c>
      <c r="I526" s="3" t="str">
        <f t="shared" ca="1" si="2"/>
        <v>'Embry-Riddle Aeronautical University',</v>
      </c>
    </row>
    <row r="527" spans="1:9">
      <c r="A527" s="1" t="s">
        <v>525</v>
      </c>
      <c r="B527" s="3" t="str">
        <f ca="1">IFERROR(__xludf.DUMMYFUNCTION("SPLIT(A527,"","")"),"US")</f>
        <v>US</v>
      </c>
      <c r="C527" s="3" t="str">
        <f ca="1">IFERROR(__xludf.DUMMYFUNCTION("""COMPUTED_VALUE"""),"""Embry Riddle Aeronautical University")</f>
        <v>"Embry Riddle Aeronautical University</v>
      </c>
      <c r="D527" s="3" t="str">
        <f ca="1">IFERROR(__xludf.DUMMYFUNCTION("""COMPUTED_VALUE""")," Prescott""")</f>
        <v xml:space="preserve"> Prescott"</v>
      </c>
      <c r="E527" s="4" t="str">
        <f ca="1">IFERROR(__xludf.DUMMYFUNCTION("""COMPUTED_VALUE"""),"http://www.prescott.erau.edu/")</f>
        <v>http://www.prescott.erau.edu/</v>
      </c>
      <c r="G527" s="2" t="str">
        <f t="shared" ca="1" si="0"/>
        <v>"Embry Riddle Aeronautical University</v>
      </c>
      <c r="H527" s="5" t="str">
        <f t="shared" ca="1" si="1"/>
        <v>Embry Riddle Aeronautical University</v>
      </c>
      <c r="I527" s="3" t="str">
        <f t="shared" ca="1" si="2"/>
        <v>'Embry Riddle Aeronautical University',</v>
      </c>
    </row>
    <row r="528" spans="1:9">
      <c r="A528" s="1" t="s">
        <v>526</v>
      </c>
      <c r="B528" s="3" t="str">
        <f ca="1">IFERROR(__xludf.DUMMYFUNCTION("SPLIT(A528,"","")"),"US")</f>
        <v>US</v>
      </c>
      <c r="C528" s="3" t="str">
        <f ca="1">IFERROR(__xludf.DUMMYFUNCTION("""COMPUTED_VALUE"""),"Emerson College")</f>
        <v>Emerson College</v>
      </c>
      <c r="D528" s="4" t="str">
        <f ca="1">IFERROR(__xludf.DUMMYFUNCTION("""COMPUTED_VALUE"""),"http://www.emerson.edu/")</f>
        <v>http://www.emerson.edu/</v>
      </c>
      <c r="G528" s="2" t="str">
        <f t="shared" ca="1" si="0"/>
        <v>Emerson College</v>
      </c>
      <c r="H528" s="5" t="str">
        <f t="shared" ca="1" si="1"/>
        <v>Emerson College</v>
      </c>
      <c r="I528" s="3" t="str">
        <f t="shared" ca="1" si="2"/>
        <v>'Emerson College',</v>
      </c>
    </row>
    <row r="529" spans="1:9">
      <c r="A529" s="1" t="s">
        <v>527</v>
      </c>
      <c r="B529" s="3" t="str">
        <f ca="1">IFERROR(__xludf.DUMMYFUNCTION("SPLIT(A529,"","")"),"US")</f>
        <v>US</v>
      </c>
      <c r="C529" s="3" t="str">
        <f ca="1">IFERROR(__xludf.DUMMYFUNCTION("""COMPUTED_VALUE"""),"Emmanuel College")</f>
        <v>Emmanuel College</v>
      </c>
      <c r="D529" s="4" t="str">
        <f ca="1">IFERROR(__xludf.DUMMYFUNCTION("""COMPUTED_VALUE"""),"http://www.emmanuel.edu/")</f>
        <v>http://www.emmanuel.edu/</v>
      </c>
      <c r="G529" s="2" t="str">
        <f t="shared" ca="1" si="0"/>
        <v>Emmanuel College</v>
      </c>
      <c r="H529" s="5" t="str">
        <f t="shared" ca="1" si="1"/>
        <v>Emmanuel College</v>
      </c>
      <c r="I529" s="3" t="str">
        <f t="shared" ca="1" si="2"/>
        <v>'Emmanuel College',</v>
      </c>
    </row>
    <row r="530" spans="1:9">
      <c r="A530" s="1" t="s">
        <v>528</v>
      </c>
      <c r="B530" s="3" t="str">
        <f ca="1">IFERROR(__xludf.DUMMYFUNCTION("SPLIT(A530,"","")"),"US")</f>
        <v>US</v>
      </c>
      <c r="C530" s="3" t="str">
        <f ca="1">IFERROR(__xludf.DUMMYFUNCTION("""COMPUTED_VALUE"""),"Emmanuel College Georgia")</f>
        <v>Emmanuel College Georgia</v>
      </c>
      <c r="D530" s="4" t="str">
        <f ca="1">IFERROR(__xludf.DUMMYFUNCTION("""COMPUTED_VALUE"""),"http://www.emmanuel-college.edu/")</f>
        <v>http://www.emmanuel-college.edu/</v>
      </c>
      <c r="G530" s="2" t="str">
        <f t="shared" ca="1" si="0"/>
        <v>Emmanuel College Georgia</v>
      </c>
      <c r="H530" s="5" t="str">
        <f t="shared" ca="1" si="1"/>
        <v>Emmanuel College Georgia</v>
      </c>
      <c r="I530" s="3" t="str">
        <f t="shared" ca="1" si="2"/>
        <v>'Emmanuel College Georgia',</v>
      </c>
    </row>
    <row r="531" spans="1:9">
      <c r="A531" s="1" t="s">
        <v>529</v>
      </c>
      <c r="B531" s="3" t="str">
        <f ca="1">IFERROR(__xludf.DUMMYFUNCTION("SPLIT(A531,"","")"),"US")</f>
        <v>US</v>
      </c>
      <c r="C531" s="3" t="str">
        <f ca="1">IFERROR(__xludf.DUMMYFUNCTION("""COMPUTED_VALUE"""),"Emmaus Bible College")</f>
        <v>Emmaus Bible College</v>
      </c>
      <c r="D531" s="4" t="str">
        <f ca="1">IFERROR(__xludf.DUMMYFUNCTION("""COMPUTED_VALUE"""),"http://www.emmaus.edu/")</f>
        <v>http://www.emmaus.edu/</v>
      </c>
      <c r="G531" s="2" t="str">
        <f t="shared" ca="1" si="0"/>
        <v>Emmaus Bible College</v>
      </c>
      <c r="H531" s="5" t="str">
        <f t="shared" ca="1" si="1"/>
        <v>Emmaus Bible College</v>
      </c>
      <c r="I531" s="3" t="str">
        <f t="shared" ca="1" si="2"/>
        <v>'Emmaus Bible College',</v>
      </c>
    </row>
    <row r="532" spans="1:9">
      <c r="A532" s="1" t="s">
        <v>530</v>
      </c>
      <c r="B532" s="3" t="str">
        <f ca="1">IFERROR(__xludf.DUMMYFUNCTION("SPLIT(A532,"","")"),"US")</f>
        <v>US</v>
      </c>
      <c r="C532" s="3" t="str">
        <f ca="1">IFERROR(__xludf.DUMMYFUNCTION("""COMPUTED_VALUE"""),"Emory &amp; Henry College")</f>
        <v>Emory &amp; Henry College</v>
      </c>
      <c r="D532" s="4" t="str">
        <f ca="1">IFERROR(__xludf.DUMMYFUNCTION("""COMPUTED_VALUE"""),"http://www.ehc.edu/")</f>
        <v>http://www.ehc.edu/</v>
      </c>
      <c r="G532" s="2" t="str">
        <f t="shared" ca="1" si="0"/>
        <v>Emory &amp; Henry College</v>
      </c>
      <c r="H532" s="5" t="str">
        <f t="shared" ca="1" si="1"/>
        <v>Emory &amp; Henry College</v>
      </c>
      <c r="I532" s="3" t="str">
        <f t="shared" ca="1" si="2"/>
        <v>'Emory &amp; Henry College',</v>
      </c>
    </row>
    <row r="533" spans="1:9">
      <c r="A533" s="1" t="s">
        <v>531</v>
      </c>
      <c r="B533" s="3" t="str">
        <f ca="1">IFERROR(__xludf.DUMMYFUNCTION("SPLIT(A533,"","")"),"US")</f>
        <v>US</v>
      </c>
      <c r="C533" s="3" t="str">
        <f ca="1">IFERROR(__xludf.DUMMYFUNCTION("""COMPUTED_VALUE"""),"Emory University")</f>
        <v>Emory University</v>
      </c>
      <c r="D533" s="4" t="str">
        <f ca="1">IFERROR(__xludf.DUMMYFUNCTION("""COMPUTED_VALUE"""),"http://www.emory.edu/")</f>
        <v>http://www.emory.edu/</v>
      </c>
      <c r="G533" s="2" t="str">
        <f t="shared" ca="1" si="0"/>
        <v>Emory University</v>
      </c>
      <c r="H533" s="5" t="str">
        <f t="shared" ca="1" si="1"/>
        <v>Emory University</v>
      </c>
      <c r="I533" s="3" t="str">
        <f t="shared" ca="1" si="2"/>
        <v>'Emory University',</v>
      </c>
    </row>
    <row r="534" spans="1:9">
      <c r="A534" s="1" t="s">
        <v>532</v>
      </c>
      <c r="B534" s="3" t="str">
        <f ca="1">IFERROR(__xludf.DUMMYFUNCTION("SPLIT(A534,"","")"),"US")</f>
        <v>US</v>
      </c>
      <c r="C534" s="3" t="str">
        <f ca="1">IFERROR(__xludf.DUMMYFUNCTION("""COMPUTED_VALUE"""),"Emporia State University")</f>
        <v>Emporia State University</v>
      </c>
      <c r="D534" s="4" t="str">
        <f ca="1">IFERROR(__xludf.DUMMYFUNCTION("""COMPUTED_VALUE"""),"http://www.emporia.edu/")</f>
        <v>http://www.emporia.edu/</v>
      </c>
      <c r="G534" s="2" t="str">
        <f t="shared" ca="1" si="0"/>
        <v>Emporia State University</v>
      </c>
      <c r="H534" s="5" t="str">
        <f t="shared" ca="1" si="1"/>
        <v>Emporia State University</v>
      </c>
      <c r="I534" s="3" t="str">
        <f t="shared" ca="1" si="2"/>
        <v>'Emporia State University',</v>
      </c>
    </row>
    <row r="535" spans="1:9">
      <c r="A535" s="1" t="s">
        <v>533</v>
      </c>
      <c r="B535" s="3" t="str">
        <f ca="1">IFERROR(__xludf.DUMMYFUNCTION("SPLIT(A535,"","")"),"US")</f>
        <v>US</v>
      </c>
      <c r="C535" s="3" t="str">
        <f ca="1">IFERROR(__xludf.DUMMYFUNCTION("""COMPUTED_VALUE"""),"Erskine College")</f>
        <v>Erskine College</v>
      </c>
      <c r="D535" s="4" t="str">
        <f ca="1">IFERROR(__xludf.DUMMYFUNCTION("""COMPUTED_VALUE"""),"http://www.erskine.edu/")</f>
        <v>http://www.erskine.edu/</v>
      </c>
      <c r="G535" s="2" t="str">
        <f t="shared" ca="1" si="0"/>
        <v>Erskine College</v>
      </c>
      <c r="H535" s="5" t="str">
        <f t="shared" ca="1" si="1"/>
        <v>Erskine College</v>
      </c>
      <c r="I535" s="3" t="str">
        <f t="shared" ca="1" si="2"/>
        <v>'Erskine College',</v>
      </c>
    </row>
    <row r="536" spans="1:9">
      <c r="A536" s="1" t="s">
        <v>534</v>
      </c>
      <c r="B536" s="3" t="str">
        <f ca="1">IFERROR(__xludf.DUMMYFUNCTION("SPLIT(A536,"","")"),"US")</f>
        <v>US</v>
      </c>
      <c r="C536" s="3" t="str">
        <f ca="1">IFERROR(__xludf.DUMMYFUNCTION("""COMPUTED_VALUE"""),"Eugene Bible College")</f>
        <v>Eugene Bible College</v>
      </c>
      <c r="D536" s="4" t="str">
        <f ca="1">IFERROR(__xludf.DUMMYFUNCTION("""COMPUTED_VALUE"""),"http://www.ebc.edu/")</f>
        <v>http://www.ebc.edu/</v>
      </c>
      <c r="G536" s="2" t="str">
        <f t="shared" ca="1" si="0"/>
        <v>Eugene Bible College</v>
      </c>
      <c r="H536" s="5" t="str">
        <f t="shared" ca="1" si="1"/>
        <v>Eugene Bible College</v>
      </c>
      <c r="I536" s="3" t="str">
        <f t="shared" ca="1" si="2"/>
        <v>'Eugene Bible College',</v>
      </c>
    </row>
    <row r="537" spans="1:9">
      <c r="A537" s="1" t="s">
        <v>535</v>
      </c>
      <c r="B537" s="3" t="str">
        <f ca="1">IFERROR(__xludf.DUMMYFUNCTION("SPLIT(A537,"","")"),"US")</f>
        <v>US</v>
      </c>
      <c r="C537" s="3" t="str">
        <f ca="1">IFERROR(__xludf.DUMMYFUNCTION("""COMPUTED_VALUE"""),"Eureka College")</f>
        <v>Eureka College</v>
      </c>
      <c r="D537" s="4" t="str">
        <f ca="1">IFERROR(__xludf.DUMMYFUNCTION("""COMPUTED_VALUE"""),"http://www.eureka.edu/")</f>
        <v>http://www.eureka.edu/</v>
      </c>
      <c r="G537" s="2" t="str">
        <f t="shared" ca="1" si="0"/>
        <v>Eureka College</v>
      </c>
      <c r="H537" s="5" t="str">
        <f t="shared" ca="1" si="1"/>
        <v>Eureka College</v>
      </c>
      <c r="I537" s="3" t="str">
        <f t="shared" ca="1" si="2"/>
        <v>'Eureka College',</v>
      </c>
    </row>
    <row r="538" spans="1:9">
      <c r="A538" s="1" t="s">
        <v>536</v>
      </c>
      <c r="B538" s="3" t="str">
        <f ca="1">IFERROR(__xludf.DUMMYFUNCTION("SPLIT(A538,"","")"),"US")</f>
        <v>US</v>
      </c>
      <c r="C538" s="3" t="str">
        <f ca="1">IFERROR(__xludf.DUMMYFUNCTION("""COMPUTED_VALUE"""),"Evangel University")</f>
        <v>Evangel University</v>
      </c>
      <c r="D538" s="4" t="str">
        <f ca="1">IFERROR(__xludf.DUMMYFUNCTION("""COMPUTED_VALUE"""),"http://www.evangel.edu/")</f>
        <v>http://www.evangel.edu/</v>
      </c>
      <c r="G538" s="2" t="str">
        <f t="shared" ca="1" si="0"/>
        <v>Evangel University</v>
      </c>
      <c r="H538" s="5" t="str">
        <f t="shared" ca="1" si="1"/>
        <v>Evangel University</v>
      </c>
      <c r="I538" s="3" t="str">
        <f t="shared" ca="1" si="2"/>
        <v>'Evangel University',</v>
      </c>
    </row>
    <row r="539" spans="1:9">
      <c r="A539" s="1" t="s">
        <v>537</v>
      </c>
      <c r="B539" s="3" t="str">
        <f ca="1">IFERROR(__xludf.DUMMYFUNCTION("SPLIT(A539,"","")"),"US")</f>
        <v>US</v>
      </c>
      <c r="C539" s="3" t="str">
        <f ca="1">IFERROR(__xludf.DUMMYFUNCTION("""COMPUTED_VALUE"""),"Evergreen State College")</f>
        <v>Evergreen State College</v>
      </c>
      <c r="D539" s="4" t="str">
        <f ca="1">IFERROR(__xludf.DUMMYFUNCTION("""COMPUTED_VALUE"""),"http://www.evergreen.edu/")</f>
        <v>http://www.evergreen.edu/</v>
      </c>
      <c r="G539" s="2" t="str">
        <f t="shared" ca="1" si="0"/>
        <v>Evergreen State College</v>
      </c>
      <c r="H539" s="5" t="str">
        <f t="shared" ca="1" si="1"/>
        <v>Evergreen State College</v>
      </c>
      <c r="I539" s="3" t="str">
        <f t="shared" ca="1" si="2"/>
        <v>'Evergreen State College',</v>
      </c>
    </row>
    <row r="540" spans="1:9">
      <c r="A540" s="1" t="s">
        <v>538</v>
      </c>
      <c r="B540" s="3" t="str">
        <f ca="1">IFERROR(__xludf.DUMMYFUNCTION("SPLIT(A540,"","")"),"US")</f>
        <v>US</v>
      </c>
      <c r="C540" s="3" t="str">
        <f ca="1">IFERROR(__xludf.DUMMYFUNCTION("""COMPUTED_VALUE"""),"Excel College")</f>
        <v>Excel College</v>
      </c>
      <c r="D540" s="4" t="str">
        <f ca="1">IFERROR(__xludf.DUMMYFUNCTION("""COMPUTED_VALUE"""),"http://www.excelcollege.org/")</f>
        <v>http://www.excelcollege.org/</v>
      </c>
      <c r="G540" s="2" t="str">
        <f t="shared" ca="1" si="0"/>
        <v>Excel College</v>
      </c>
      <c r="H540" s="5" t="str">
        <f t="shared" ca="1" si="1"/>
        <v>Excel College</v>
      </c>
      <c r="I540" s="3" t="str">
        <f t="shared" ca="1" si="2"/>
        <v>'Excel College',</v>
      </c>
    </row>
    <row r="541" spans="1:9">
      <c r="A541" s="1" t="s">
        <v>539</v>
      </c>
      <c r="B541" s="3" t="str">
        <f ca="1">IFERROR(__xludf.DUMMYFUNCTION("SPLIT(A541,"","")"),"US")</f>
        <v>US</v>
      </c>
      <c r="C541" s="3" t="str">
        <f ca="1">IFERROR(__xludf.DUMMYFUNCTION("""COMPUTED_VALUE"""),"Excelsior College")</f>
        <v>Excelsior College</v>
      </c>
      <c r="D541" s="4" t="str">
        <f ca="1">IFERROR(__xludf.DUMMYFUNCTION("""COMPUTED_VALUE"""),"http://www.regents.edu/")</f>
        <v>http://www.regents.edu/</v>
      </c>
      <c r="G541" s="2" t="str">
        <f t="shared" ca="1" si="0"/>
        <v>Excelsior College</v>
      </c>
      <c r="H541" s="5" t="str">
        <f t="shared" ca="1" si="1"/>
        <v>Excelsior College</v>
      </c>
      <c r="I541" s="3" t="str">
        <f t="shared" ca="1" si="2"/>
        <v>'Excelsior College',</v>
      </c>
    </row>
    <row r="542" spans="1:9">
      <c r="A542" s="1" t="s">
        <v>540</v>
      </c>
      <c r="B542" s="3" t="str">
        <f ca="1">IFERROR(__xludf.DUMMYFUNCTION("SPLIT(A542,"","")"),"US")</f>
        <v>US</v>
      </c>
      <c r="C542" s="3" t="str">
        <f ca="1">IFERROR(__xludf.DUMMYFUNCTION("""COMPUTED_VALUE"""),"Fairfield University")</f>
        <v>Fairfield University</v>
      </c>
      <c r="D542" s="4" t="str">
        <f ca="1">IFERROR(__xludf.DUMMYFUNCTION("""COMPUTED_VALUE"""),"http://www.fairfield.edu/")</f>
        <v>http://www.fairfield.edu/</v>
      </c>
      <c r="G542" s="2" t="str">
        <f t="shared" ca="1" si="0"/>
        <v>Fairfield University</v>
      </c>
      <c r="H542" s="5" t="str">
        <f t="shared" ca="1" si="1"/>
        <v>Fairfield University</v>
      </c>
      <c r="I542" s="3" t="str">
        <f t="shared" ca="1" si="2"/>
        <v>'Fairfield University',</v>
      </c>
    </row>
    <row r="543" spans="1:9">
      <c r="A543" s="1" t="s">
        <v>541</v>
      </c>
      <c r="B543" s="3" t="str">
        <f ca="1">IFERROR(__xludf.DUMMYFUNCTION("SPLIT(A543,"","")"),"US")</f>
        <v>US</v>
      </c>
      <c r="C543" s="3" t="str">
        <f ca="1">IFERROR(__xludf.DUMMYFUNCTION("""COMPUTED_VALUE"""),"""Fairleigh Dickinson University")</f>
        <v>"Fairleigh Dickinson University</v>
      </c>
      <c r="D543" s="3" t="str">
        <f ca="1">IFERROR(__xludf.DUMMYFUNCTION("""COMPUTED_VALUE""")," Florham-Madison Campus""")</f>
        <v xml:space="preserve"> Florham-Madison Campus"</v>
      </c>
      <c r="E543" s="4" t="str">
        <f ca="1">IFERROR(__xludf.DUMMYFUNCTION("""COMPUTED_VALUE"""),"http://www.fdu.edu/visitorcenter/fmwelcome.html")</f>
        <v>http://www.fdu.edu/visitorcenter/fmwelcome.html</v>
      </c>
      <c r="G543" s="2" t="str">
        <f t="shared" ca="1" si="0"/>
        <v>"Fairleigh Dickinson University</v>
      </c>
      <c r="H543" s="5" t="str">
        <f t="shared" ca="1" si="1"/>
        <v>Fairleigh Dickinson University</v>
      </c>
      <c r="I543" s="3" t="str">
        <f t="shared" ca="1" si="2"/>
        <v>'Fairleigh Dickinson University',</v>
      </c>
    </row>
    <row r="544" spans="1:9">
      <c r="A544" s="1" t="s">
        <v>542</v>
      </c>
      <c r="B544" s="3" t="str">
        <f ca="1">IFERROR(__xludf.DUMMYFUNCTION("SPLIT(A544,"","")"),"US")</f>
        <v>US</v>
      </c>
      <c r="C544" s="3" t="str">
        <f ca="1">IFERROR(__xludf.DUMMYFUNCTION("""COMPUTED_VALUE"""),"""Fairleigh Dickinson University")</f>
        <v>"Fairleigh Dickinson University</v>
      </c>
      <c r="D544" s="3" t="str">
        <f ca="1">IFERROR(__xludf.DUMMYFUNCTION("""COMPUTED_VALUE""")," Teaneck-Hackensack Campus""")</f>
        <v xml:space="preserve"> Teaneck-Hackensack Campus"</v>
      </c>
      <c r="E544" s="4" t="str">
        <f ca="1">IFERROR(__xludf.DUMMYFUNCTION("""COMPUTED_VALUE"""),"http://www.fdu.edu/visitorcenter/thwelcome.html")</f>
        <v>http://www.fdu.edu/visitorcenter/thwelcome.html</v>
      </c>
      <c r="G544" s="2" t="str">
        <f t="shared" ca="1" si="0"/>
        <v>"Fairleigh Dickinson University</v>
      </c>
      <c r="H544" s="5" t="str">
        <f t="shared" ca="1" si="1"/>
        <v>Fairleigh Dickinson University</v>
      </c>
      <c r="I544" s="3" t="str">
        <f t="shared" ca="1" si="2"/>
        <v>'Fairleigh Dickinson University',</v>
      </c>
    </row>
    <row r="545" spans="1:9">
      <c r="A545" s="1" t="s">
        <v>543</v>
      </c>
      <c r="B545" s="3" t="str">
        <f ca="1">IFERROR(__xludf.DUMMYFUNCTION("SPLIT(A545,"","")"),"US")</f>
        <v>US</v>
      </c>
      <c r="C545" s="3" t="str">
        <f ca="1">IFERROR(__xludf.DUMMYFUNCTION("""COMPUTED_VALUE"""),"Fairmont State College")</f>
        <v>Fairmont State College</v>
      </c>
      <c r="D545" s="4" t="str">
        <f ca="1">IFERROR(__xludf.DUMMYFUNCTION("""COMPUTED_VALUE"""),"http://www.fscwv.edu/")</f>
        <v>http://www.fscwv.edu/</v>
      </c>
      <c r="G545" s="2" t="str">
        <f t="shared" ca="1" si="0"/>
        <v>Fairmont State College</v>
      </c>
      <c r="H545" s="5" t="str">
        <f t="shared" ca="1" si="1"/>
        <v>Fairmont State College</v>
      </c>
      <c r="I545" s="3" t="str">
        <f t="shared" ca="1" si="2"/>
        <v>'Fairmont State College',</v>
      </c>
    </row>
    <row r="546" spans="1:9">
      <c r="A546" s="1" t="s">
        <v>544</v>
      </c>
      <c r="B546" s="3" t="str">
        <f ca="1">IFERROR(__xludf.DUMMYFUNCTION("SPLIT(A546,"","")"),"US")</f>
        <v>US</v>
      </c>
      <c r="C546" s="3" t="str">
        <f ca="1">IFERROR(__xludf.DUMMYFUNCTION("""COMPUTED_VALUE"""),"Fashion Institute of New York")</f>
        <v>Fashion Institute of New York</v>
      </c>
      <c r="D546" s="4" t="str">
        <f ca="1">IFERROR(__xludf.DUMMYFUNCTION("""COMPUTED_VALUE"""),"http://www.fitnyc.suny.edu/")</f>
        <v>http://www.fitnyc.suny.edu/</v>
      </c>
      <c r="G546" s="2" t="str">
        <f t="shared" ca="1" si="0"/>
        <v>Fashion Institute of New York</v>
      </c>
      <c r="H546" s="5" t="str">
        <f t="shared" ca="1" si="1"/>
        <v>Fashion Institute of New York</v>
      </c>
      <c r="I546" s="3" t="str">
        <f t="shared" ca="1" si="2"/>
        <v>'Fashion Institute of New York',</v>
      </c>
    </row>
    <row r="547" spans="1:9">
      <c r="A547" s="1" t="s">
        <v>545</v>
      </c>
      <c r="B547" s="3" t="str">
        <f ca="1">IFERROR(__xludf.DUMMYFUNCTION("SPLIT(A547,"","")"),"US")</f>
        <v>US</v>
      </c>
      <c r="C547" s="3" t="str">
        <f ca="1">IFERROR(__xludf.DUMMYFUNCTION("""COMPUTED_VALUE"""),"Faulkner University")</f>
        <v>Faulkner University</v>
      </c>
      <c r="D547" s="4" t="str">
        <f ca="1">IFERROR(__xludf.DUMMYFUNCTION("""COMPUTED_VALUE"""),"http://www.faulkner.edu/")</f>
        <v>http://www.faulkner.edu/</v>
      </c>
      <c r="G547" s="2" t="str">
        <f t="shared" ca="1" si="0"/>
        <v>Faulkner University</v>
      </c>
      <c r="H547" s="5" t="str">
        <f t="shared" ca="1" si="1"/>
        <v>Faulkner University</v>
      </c>
      <c r="I547" s="3" t="str">
        <f t="shared" ca="1" si="2"/>
        <v>'Faulkner University',</v>
      </c>
    </row>
    <row r="548" spans="1:9">
      <c r="A548" s="1" t="s">
        <v>546</v>
      </c>
      <c r="B548" s="3" t="str">
        <f ca="1">IFERROR(__xludf.DUMMYFUNCTION("SPLIT(A548,"","")"),"US")</f>
        <v>US</v>
      </c>
      <c r="C548" s="3" t="str">
        <f ca="1">IFERROR(__xludf.DUMMYFUNCTION("""COMPUTED_VALUE"""),"Fayetteville State University")</f>
        <v>Fayetteville State University</v>
      </c>
      <c r="D548" s="4" t="str">
        <f ca="1">IFERROR(__xludf.DUMMYFUNCTION("""COMPUTED_VALUE"""),"http://www.uncfsu.edu/")</f>
        <v>http://www.uncfsu.edu/</v>
      </c>
      <c r="G548" s="2" t="str">
        <f t="shared" ca="1" si="0"/>
        <v>Fayetteville State University</v>
      </c>
      <c r="H548" s="5" t="str">
        <f t="shared" ca="1" si="1"/>
        <v>Fayetteville State University</v>
      </c>
      <c r="I548" s="3" t="str">
        <f t="shared" ca="1" si="2"/>
        <v>'Fayetteville State University',</v>
      </c>
    </row>
    <row r="549" spans="1:9">
      <c r="A549" s="1" t="s">
        <v>547</v>
      </c>
      <c r="B549" s="3" t="str">
        <f ca="1">IFERROR(__xludf.DUMMYFUNCTION("SPLIT(A549,"","")"),"US")</f>
        <v>US</v>
      </c>
      <c r="C549" s="3" t="str">
        <f ca="1">IFERROR(__xludf.DUMMYFUNCTION("""COMPUTED_VALUE"""),"Felician College")</f>
        <v>Felician College</v>
      </c>
      <c r="D549" s="4" t="str">
        <f ca="1">IFERROR(__xludf.DUMMYFUNCTION("""COMPUTED_VALUE"""),"http://www.felician.edu/")</f>
        <v>http://www.felician.edu/</v>
      </c>
      <c r="G549" s="2" t="str">
        <f t="shared" ca="1" si="0"/>
        <v>Felician College</v>
      </c>
      <c r="H549" s="5" t="str">
        <f t="shared" ca="1" si="1"/>
        <v>Felician College</v>
      </c>
      <c r="I549" s="3" t="str">
        <f t="shared" ca="1" si="2"/>
        <v>'Felician College',</v>
      </c>
    </row>
    <row r="550" spans="1:9">
      <c r="A550" s="1" t="s">
        <v>548</v>
      </c>
      <c r="B550" s="3" t="str">
        <f ca="1">IFERROR(__xludf.DUMMYFUNCTION("SPLIT(A550,"","")"),"US")</f>
        <v>US</v>
      </c>
      <c r="C550" s="3" t="str">
        <f ca="1">IFERROR(__xludf.DUMMYFUNCTION("""COMPUTED_VALUE"""),"Ferris State University")</f>
        <v>Ferris State University</v>
      </c>
      <c r="D550" s="4" t="str">
        <f ca="1">IFERROR(__xludf.DUMMYFUNCTION("""COMPUTED_VALUE"""),"http://www.ferris.edu/")</f>
        <v>http://www.ferris.edu/</v>
      </c>
      <c r="G550" s="2" t="str">
        <f t="shared" ca="1" si="0"/>
        <v>Ferris State University</v>
      </c>
      <c r="H550" s="5" t="str">
        <f t="shared" ca="1" si="1"/>
        <v>Ferris State University</v>
      </c>
      <c r="I550" s="3" t="str">
        <f t="shared" ca="1" si="2"/>
        <v>'Ferris State University',</v>
      </c>
    </row>
    <row r="551" spans="1:9">
      <c r="A551" s="1" t="s">
        <v>549</v>
      </c>
      <c r="B551" s="3" t="str">
        <f ca="1">IFERROR(__xludf.DUMMYFUNCTION("SPLIT(A551,"","")"),"US")</f>
        <v>US</v>
      </c>
      <c r="C551" s="3" t="str">
        <f ca="1">IFERROR(__xludf.DUMMYFUNCTION("""COMPUTED_VALUE"""),"Ferrum College")</f>
        <v>Ferrum College</v>
      </c>
      <c r="D551" s="4" t="str">
        <f ca="1">IFERROR(__xludf.DUMMYFUNCTION("""COMPUTED_VALUE"""),"http://www.ferrum.edu/")</f>
        <v>http://www.ferrum.edu/</v>
      </c>
      <c r="G551" s="2" t="str">
        <f t="shared" ca="1" si="0"/>
        <v>Ferrum College</v>
      </c>
      <c r="H551" s="5" t="str">
        <f t="shared" ca="1" si="1"/>
        <v>Ferrum College</v>
      </c>
      <c r="I551" s="3" t="str">
        <f t="shared" ca="1" si="2"/>
        <v>'Ferrum College',</v>
      </c>
    </row>
    <row r="552" spans="1:9">
      <c r="A552" s="1" t="s">
        <v>550</v>
      </c>
      <c r="B552" s="3" t="str">
        <f ca="1">IFERROR(__xludf.DUMMYFUNCTION("SPLIT(A552,"","")"),"US")</f>
        <v>US</v>
      </c>
      <c r="C552" s="3" t="str">
        <f ca="1">IFERROR(__xludf.DUMMYFUNCTION("""COMPUTED_VALUE"""),"Fielding Institute")</f>
        <v>Fielding Institute</v>
      </c>
      <c r="D552" s="4" t="str">
        <f ca="1">IFERROR(__xludf.DUMMYFUNCTION("""COMPUTED_VALUE"""),"http://www.fielding.edu/")</f>
        <v>http://www.fielding.edu/</v>
      </c>
      <c r="G552" s="2" t="str">
        <f t="shared" ca="1" si="0"/>
        <v>Fielding Institute</v>
      </c>
      <c r="H552" s="5" t="str">
        <f t="shared" ca="1" si="1"/>
        <v>Fielding Institute</v>
      </c>
      <c r="I552" s="3" t="str">
        <f t="shared" ca="1" si="2"/>
        <v>'Fielding Institute',</v>
      </c>
    </row>
    <row r="553" spans="1:9">
      <c r="A553" s="1" t="s">
        <v>551</v>
      </c>
      <c r="B553" s="3" t="str">
        <f ca="1">IFERROR(__xludf.DUMMYFUNCTION("SPLIT(A553,"","")"),"US")</f>
        <v>US</v>
      </c>
      <c r="C553" s="3" t="str">
        <f ca="1">IFERROR(__xludf.DUMMYFUNCTION("""COMPUTED_VALUE"""),"Finch University of Health Sciences - The Chicago Medical School")</f>
        <v>Finch University of Health Sciences - The Chicago Medical School</v>
      </c>
      <c r="D553" s="4" t="str">
        <f ca="1">IFERROR(__xludf.DUMMYFUNCTION("""COMPUTED_VALUE"""),"http://www.finchcms.edu/")</f>
        <v>http://www.finchcms.edu/</v>
      </c>
      <c r="G553" s="2" t="str">
        <f t="shared" ca="1" si="0"/>
        <v>Finch University of Health Sciences - The Chicago Medical School</v>
      </c>
      <c r="H553" s="5" t="str">
        <f t="shared" ca="1" si="1"/>
        <v>Finch University of Health Sciences - The Chicago Medical School</v>
      </c>
      <c r="I553" s="3" t="str">
        <f t="shared" ca="1" si="2"/>
        <v>'Finch University of Health Sciences - The Chicago Medical School',</v>
      </c>
    </row>
    <row r="554" spans="1:9">
      <c r="A554" s="1" t="s">
        <v>552</v>
      </c>
      <c r="B554" s="3" t="str">
        <f ca="1">IFERROR(__xludf.DUMMYFUNCTION("SPLIT(A554,"","")"),"US")</f>
        <v>US</v>
      </c>
      <c r="C554" s="3" t="str">
        <f ca="1">IFERROR(__xludf.DUMMYFUNCTION("""COMPUTED_VALUE"""),"Finlandia University")</f>
        <v>Finlandia University</v>
      </c>
      <c r="D554" s="4" t="str">
        <f ca="1">IFERROR(__xludf.DUMMYFUNCTION("""COMPUTED_VALUE"""),"http://www.finlandia.edu/")</f>
        <v>http://www.finlandia.edu/</v>
      </c>
      <c r="G554" s="2" t="str">
        <f t="shared" ca="1" si="0"/>
        <v>Finlandia University</v>
      </c>
      <c r="H554" s="5" t="str">
        <f t="shared" ca="1" si="1"/>
        <v>Finlandia University</v>
      </c>
      <c r="I554" s="3" t="str">
        <f t="shared" ca="1" si="2"/>
        <v>'Finlandia University',</v>
      </c>
    </row>
    <row r="555" spans="1:9">
      <c r="A555" s="1" t="s">
        <v>553</v>
      </c>
      <c r="B555" s="3" t="str">
        <f ca="1">IFERROR(__xludf.DUMMYFUNCTION("SPLIT(A555,"","")"),"US")</f>
        <v>US</v>
      </c>
      <c r="C555" s="3" t="str">
        <f ca="1">IFERROR(__xludf.DUMMYFUNCTION("""COMPUTED_VALUE"""),"Fisher College")</f>
        <v>Fisher College</v>
      </c>
      <c r="D555" s="4" t="str">
        <f ca="1">IFERROR(__xludf.DUMMYFUNCTION("""COMPUTED_VALUE"""),"http://www.fisher.edu/")</f>
        <v>http://www.fisher.edu/</v>
      </c>
      <c r="G555" s="2" t="str">
        <f t="shared" ca="1" si="0"/>
        <v>Fisher College</v>
      </c>
      <c r="H555" s="5" t="str">
        <f t="shared" ca="1" si="1"/>
        <v>Fisher College</v>
      </c>
      <c r="I555" s="3" t="str">
        <f t="shared" ca="1" si="2"/>
        <v>'Fisher College',</v>
      </c>
    </row>
    <row r="556" spans="1:9">
      <c r="A556" s="1" t="s">
        <v>554</v>
      </c>
      <c r="B556" s="3" t="str">
        <f ca="1">IFERROR(__xludf.DUMMYFUNCTION("SPLIT(A556,"","")"),"US")</f>
        <v>US</v>
      </c>
      <c r="C556" s="3" t="str">
        <f ca="1">IFERROR(__xludf.DUMMYFUNCTION("""COMPUTED_VALUE"""),"Fisk University")</f>
        <v>Fisk University</v>
      </c>
      <c r="D556" s="4" t="str">
        <f ca="1">IFERROR(__xludf.DUMMYFUNCTION("""COMPUTED_VALUE"""),"http://www.fisk.edu/")</f>
        <v>http://www.fisk.edu/</v>
      </c>
      <c r="G556" s="2" t="str">
        <f t="shared" ca="1" si="0"/>
        <v>Fisk University</v>
      </c>
      <c r="H556" s="5" t="str">
        <f t="shared" ca="1" si="1"/>
        <v>Fisk University</v>
      </c>
      <c r="I556" s="3" t="str">
        <f t="shared" ca="1" si="2"/>
        <v>'Fisk University',</v>
      </c>
    </row>
    <row r="557" spans="1:9">
      <c r="A557" s="1" t="s">
        <v>555</v>
      </c>
      <c r="B557" s="3" t="str">
        <f ca="1">IFERROR(__xludf.DUMMYFUNCTION("SPLIT(A557,"","")"),"US")</f>
        <v>US</v>
      </c>
      <c r="C557" s="3" t="str">
        <f ca="1">IFERROR(__xludf.DUMMYFUNCTION("""COMPUTED_VALUE"""),"Fitchburg State College")</f>
        <v>Fitchburg State College</v>
      </c>
      <c r="D557" s="4" t="str">
        <f ca="1">IFERROR(__xludf.DUMMYFUNCTION("""COMPUTED_VALUE"""),"http://www.fsc.edu/")</f>
        <v>http://www.fsc.edu/</v>
      </c>
      <c r="G557" s="2" t="str">
        <f t="shared" ca="1" si="0"/>
        <v>Fitchburg State College</v>
      </c>
      <c r="H557" s="5" t="str">
        <f t="shared" ca="1" si="1"/>
        <v>Fitchburg State College</v>
      </c>
      <c r="I557" s="3" t="str">
        <f t="shared" ca="1" si="2"/>
        <v>'Fitchburg State College',</v>
      </c>
    </row>
    <row r="558" spans="1:9">
      <c r="A558" s="1" t="s">
        <v>556</v>
      </c>
      <c r="B558" s="3" t="str">
        <f ca="1">IFERROR(__xludf.DUMMYFUNCTION("SPLIT(A558,"","")"),"US")</f>
        <v>US</v>
      </c>
      <c r="C558" s="3" t="str">
        <f ca="1">IFERROR(__xludf.DUMMYFUNCTION("""COMPUTED_VALUE"""),"Flagler College")</f>
        <v>Flagler College</v>
      </c>
      <c r="D558" s="4" t="str">
        <f ca="1">IFERROR(__xludf.DUMMYFUNCTION("""COMPUTED_VALUE"""),"http://www.flagler.edu/")</f>
        <v>http://www.flagler.edu/</v>
      </c>
      <c r="G558" s="2" t="str">
        <f t="shared" ca="1" si="0"/>
        <v>Flagler College</v>
      </c>
      <c r="H558" s="5" t="str">
        <f t="shared" ca="1" si="1"/>
        <v>Flagler College</v>
      </c>
      <c r="I558" s="3" t="str">
        <f t="shared" ca="1" si="2"/>
        <v>'Flagler College',</v>
      </c>
    </row>
    <row r="559" spans="1:9">
      <c r="A559" s="1" t="s">
        <v>557</v>
      </c>
      <c r="B559" s="3" t="str">
        <f ca="1">IFERROR(__xludf.DUMMYFUNCTION("SPLIT(A559,"","")"),"US")</f>
        <v>US</v>
      </c>
      <c r="C559" s="3" t="str">
        <f ca="1">IFERROR(__xludf.DUMMYFUNCTION("""COMPUTED_VALUE"""),"Florida Agricultural and Mechanical University")</f>
        <v>Florida Agricultural and Mechanical University</v>
      </c>
      <c r="D559" s="4" t="str">
        <f ca="1">IFERROR(__xludf.DUMMYFUNCTION("""COMPUTED_VALUE"""),"http://www.famu.edu/")</f>
        <v>http://www.famu.edu/</v>
      </c>
      <c r="G559" s="2" t="str">
        <f t="shared" ca="1" si="0"/>
        <v>Florida Agricultural and Mechanical University</v>
      </c>
      <c r="H559" s="5" t="str">
        <f t="shared" ca="1" si="1"/>
        <v>Florida Agricultural and Mechanical University</v>
      </c>
      <c r="I559" s="3" t="str">
        <f t="shared" ca="1" si="2"/>
        <v>'Florida Agricultural and Mechanical University',</v>
      </c>
    </row>
    <row r="560" spans="1:9">
      <c r="A560" s="1" t="s">
        <v>558</v>
      </c>
      <c r="B560" s="3" t="str">
        <f ca="1">IFERROR(__xludf.DUMMYFUNCTION("SPLIT(A560,"","")"),"US")</f>
        <v>US</v>
      </c>
      <c r="C560" s="3" t="str">
        <f ca="1">IFERROR(__xludf.DUMMYFUNCTION("""COMPUTED_VALUE"""),"Florida Atlantic University")</f>
        <v>Florida Atlantic University</v>
      </c>
      <c r="D560" s="4" t="str">
        <f ca="1">IFERROR(__xludf.DUMMYFUNCTION("""COMPUTED_VALUE"""),"http://www.fau.edu/")</f>
        <v>http://www.fau.edu/</v>
      </c>
      <c r="G560" s="2" t="str">
        <f t="shared" ca="1" si="0"/>
        <v>Florida Atlantic University</v>
      </c>
      <c r="H560" s="5" t="str">
        <f t="shared" ca="1" si="1"/>
        <v>Florida Atlantic University</v>
      </c>
      <c r="I560" s="3" t="str">
        <f t="shared" ca="1" si="2"/>
        <v>'Florida Atlantic University',</v>
      </c>
    </row>
    <row r="561" spans="1:9">
      <c r="A561" s="1" t="s">
        <v>559</v>
      </c>
      <c r="B561" s="3" t="str">
        <f ca="1">IFERROR(__xludf.DUMMYFUNCTION("SPLIT(A561,"","")"),"US")</f>
        <v>US</v>
      </c>
      <c r="C561" s="3" t="str">
        <f ca="1">IFERROR(__xludf.DUMMYFUNCTION("""COMPUTED_VALUE"""),"Florida Christian College")</f>
        <v>Florida Christian College</v>
      </c>
      <c r="D561" s="4" t="str">
        <f ca="1">IFERROR(__xludf.DUMMYFUNCTION("""COMPUTED_VALUE"""),"http://www.fcc.edu/")</f>
        <v>http://www.fcc.edu/</v>
      </c>
      <c r="G561" s="2" t="str">
        <f t="shared" ca="1" si="0"/>
        <v>Florida Christian College</v>
      </c>
      <c r="H561" s="5" t="str">
        <f t="shared" ca="1" si="1"/>
        <v>Florida Christian College</v>
      </c>
      <c r="I561" s="3" t="str">
        <f t="shared" ca="1" si="2"/>
        <v>'Florida Christian College',</v>
      </c>
    </row>
    <row r="562" spans="1:9">
      <c r="A562" s="1" t="s">
        <v>560</v>
      </c>
      <c r="B562" s="3" t="str">
        <f ca="1">IFERROR(__xludf.DUMMYFUNCTION("SPLIT(A562,"","")"),"US")</f>
        <v>US</v>
      </c>
      <c r="C562" s="3" t="str">
        <f ca="1">IFERROR(__xludf.DUMMYFUNCTION("""COMPUTED_VALUE"""),"Florida Community College at Jacksonville")</f>
        <v>Florida Community College at Jacksonville</v>
      </c>
      <c r="D562" s="4" t="str">
        <f ca="1">IFERROR(__xludf.DUMMYFUNCTION("""COMPUTED_VALUE"""),"http://www.fccj.org/")</f>
        <v>http://www.fccj.org/</v>
      </c>
      <c r="G562" s="2" t="str">
        <f t="shared" ca="1" si="0"/>
        <v>Florida Community College at Jacksonville</v>
      </c>
      <c r="H562" s="5" t="str">
        <f t="shared" ca="1" si="1"/>
        <v>Florida Community College at Jacksonville</v>
      </c>
      <c r="I562" s="3" t="str">
        <f t="shared" ca="1" si="2"/>
        <v>'Florida Community College at Jacksonville',</v>
      </c>
    </row>
    <row r="563" spans="1:9">
      <c r="A563" s="1" t="s">
        <v>561</v>
      </c>
      <c r="B563" s="3" t="str">
        <f ca="1">IFERROR(__xludf.DUMMYFUNCTION("SPLIT(A563,"","")"),"US")</f>
        <v>US</v>
      </c>
      <c r="C563" s="3" t="str">
        <f ca="1">IFERROR(__xludf.DUMMYFUNCTION("""COMPUTED_VALUE"""),"Florida Gulf Coast University")</f>
        <v>Florida Gulf Coast University</v>
      </c>
      <c r="D563" s="4" t="str">
        <f ca="1">IFERROR(__xludf.DUMMYFUNCTION("""COMPUTED_VALUE"""),"http://www.fgcu.edu/")</f>
        <v>http://www.fgcu.edu/</v>
      </c>
      <c r="G563" s="2" t="str">
        <f t="shared" ca="1" si="0"/>
        <v>Florida Gulf Coast University</v>
      </c>
      <c r="H563" s="5" t="str">
        <f t="shared" ca="1" si="1"/>
        <v>Florida Gulf Coast University</v>
      </c>
      <c r="I563" s="3" t="str">
        <f t="shared" ca="1" si="2"/>
        <v>'Florida Gulf Coast University',</v>
      </c>
    </row>
    <row r="564" spans="1:9">
      <c r="A564" s="1" t="s">
        <v>562</v>
      </c>
      <c r="B564" s="3" t="str">
        <f ca="1">IFERROR(__xludf.DUMMYFUNCTION("SPLIT(A564,"","")"),"US")</f>
        <v>US</v>
      </c>
      <c r="C564" s="3" t="str">
        <f ca="1">IFERROR(__xludf.DUMMYFUNCTION("""COMPUTED_VALUE"""),"Florida Institute of Technology")</f>
        <v>Florida Institute of Technology</v>
      </c>
      <c r="D564" s="4" t="str">
        <f ca="1">IFERROR(__xludf.DUMMYFUNCTION("""COMPUTED_VALUE"""),"http://www.fit.edu/")</f>
        <v>http://www.fit.edu/</v>
      </c>
      <c r="G564" s="2" t="str">
        <f t="shared" ca="1" si="0"/>
        <v>Florida Institute of Technology</v>
      </c>
      <c r="H564" s="5" t="str">
        <f t="shared" ca="1" si="1"/>
        <v>Florida Institute of Technology</v>
      </c>
      <c r="I564" s="3" t="str">
        <f t="shared" ca="1" si="2"/>
        <v>'Florida Institute of Technology',</v>
      </c>
    </row>
    <row r="565" spans="1:9">
      <c r="A565" s="1" t="s">
        <v>563</v>
      </c>
      <c r="B565" s="3" t="str">
        <f ca="1">IFERROR(__xludf.DUMMYFUNCTION("SPLIT(A565,"","")"),"US")</f>
        <v>US</v>
      </c>
      <c r="C565" s="3" t="str">
        <f ca="1">IFERROR(__xludf.DUMMYFUNCTION("""COMPUTED_VALUE"""),"Florida International University")</f>
        <v>Florida International University</v>
      </c>
      <c r="D565" s="4" t="str">
        <f ca="1">IFERROR(__xludf.DUMMYFUNCTION("""COMPUTED_VALUE"""),"http://www.fiu.edu/")</f>
        <v>http://www.fiu.edu/</v>
      </c>
      <c r="G565" s="2" t="str">
        <f t="shared" ca="1" si="0"/>
        <v>Florida International University</v>
      </c>
      <c r="H565" s="5" t="str">
        <f t="shared" ca="1" si="1"/>
        <v>Florida International University</v>
      </c>
      <c r="I565" s="3" t="str">
        <f t="shared" ca="1" si="2"/>
        <v>'Florida International University',</v>
      </c>
    </row>
    <row r="566" spans="1:9">
      <c r="A566" s="1" t="s">
        <v>564</v>
      </c>
      <c r="B566" s="3" t="str">
        <f ca="1">IFERROR(__xludf.DUMMYFUNCTION("SPLIT(A566,"","")"),"US")</f>
        <v>US</v>
      </c>
      <c r="C566" s="3" t="str">
        <f ca="1">IFERROR(__xludf.DUMMYFUNCTION("""COMPUTED_VALUE"""),"Florida Memorial College")</f>
        <v>Florida Memorial College</v>
      </c>
      <c r="D566" s="4" t="str">
        <f ca="1">IFERROR(__xludf.DUMMYFUNCTION("""COMPUTED_VALUE"""),"http://www.fmc.edu/")</f>
        <v>http://www.fmc.edu/</v>
      </c>
      <c r="G566" s="2" t="str">
        <f t="shared" ca="1" si="0"/>
        <v>Florida Memorial College</v>
      </c>
      <c r="H566" s="5" t="str">
        <f t="shared" ca="1" si="1"/>
        <v>Florida Memorial College</v>
      </c>
      <c r="I566" s="3" t="str">
        <f t="shared" ca="1" si="2"/>
        <v>'Florida Memorial College',</v>
      </c>
    </row>
    <row r="567" spans="1:9">
      <c r="A567" s="1" t="s">
        <v>565</v>
      </c>
      <c r="B567" s="3" t="str">
        <f ca="1">IFERROR(__xludf.DUMMYFUNCTION("SPLIT(A567,"","")"),"US")</f>
        <v>US</v>
      </c>
      <c r="C567" s="3" t="str">
        <f ca="1">IFERROR(__xludf.DUMMYFUNCTION("""COMPUTED_VALUE"""),"""Florida Metropolitan University")</f>
        <v>"Florida Metropolitan University</v>
      </c>
      <c r="D567" s="3" t="str">
        <f ca="1">IFERROR(__xludf.DUMMYFUNCTION("""COMPUTED_VALUE""")," Fort Lauderdale College""")</f>
        <v xml:space="preserve"> Fort Lauderdale College"</v>
      </c>
      <c r="E567" s="4" t="str">
        <f ca="1">IFERROR(__xludf.DUMMYFUNCTION("""COMPUTED_VALUE"""),"http://www.fmu.edu/784/f-784.htm")</f>
        <v>http://www.fmu.edu/784/f-784.htm</v>
      </c>
      <c r="G567" s="2" t="str">
        <f t="shared" ca="1" si="0"/>
        <v>"Florida Metropolitan University</v>
      </c>
      <c r="H567" s="5" t="str">
        <f t="shared" ca="1" si="1"/>
        <v>Florida Metropolitan University</v>
      </c>
      <c r="I567" s="3" t="str">
        <f t="shared" ca="1" si="2"/>
        <v>'Florida Metropolitan University',</v>
      </c>
    </row>
    <row r="568" spans="1:9">
      <c r="A568" s="1" t="s">
        <v>566</v>
      </c>
      <c r="B568" s="3" t="str">
        <f ca="1">IFERROR(__xludf.DUMMYFUNCTION("SPLIT(A568,"","")"),"US")</f>
        <v>US</v>
      </c>
      <c r="C568" s="3" t="str">
        <f ca="1">IFERROR(__xludf.DUMMYFUNCTION("""COMPUTED_VALUE"""),"""Florida Metropolitan University")</f>
        <v>"Florida Metropolitan University</v>
      </c>
      <c r="D568" s="3" t="str">
        <f ca="1">IFERROR(__xludf.DUMMYFUNCTION("""COMPUTED_VALUE""")," Tampa College""")</f>
        <v xml:space="preserve"> Tampa College"</v>
      </c>
      <c r="E568" s="4" t="str">
        <f ca="1">IFERROR(__xludf.DUMMYFUNCTION("""COMPUTED_VALUE"""),"http://www.fmu.edu/762/f-762.htm")</f>
        <v>http://www.fmu.edu/762/f-762.htm</v>
      </c>
      <c r="G568" s="2" t="str">
        <f t="shared" ca="1" si="0"/>
        <v>"Florida Metropolitan University</v>
      </c>
      <c r="H568" s="5" t="str">
        <f t="shared" ca="1" si="1"/>
        <v>Florida Metropolitan University</v>
      </c>
      <c r="I568" s="3" t="str">
        <f t="shared" ca="1" si="2"/>
        <v>'Florida Metropolitan University',</v>
      </c>
    </row>
    <row r="569" spans="1:9">
      <c r="A569" s="1" t="s">
        <v>567</v>
      </c>
      <c r="B569" s="3" t="str">
        <f ca="1">IFERROR(__xludf.DUMMYFUNCTION("SPLIT(A569,"","")"),"US")</f>
        <v>US</v>
      </c>
      <c r="C569" s="3" t="str">
        <f ca="1">IFERROR(__xludf.DUMMYFUNCTION("""COMPUTED_VALUE"""),"""Florida Metropolitan University")</f>
        <v>"Florida Metropolitan University</v>
      </c>
      <c r="D569" s="3" t="str">
        <f ca="1">IFERROR(__xludf.DUMMYFUNCTION("""COMPUTED_VALUE""")," Tampa College Brandon""")</f>
        <v xml:space="preserve"> Tampa College Brandon"</v>
      </c>
      <c r="E569" s="4" t="str">
        <f ca="1">IFERROR(__xludf.DUMMYFUNCTION("""COMPUTED_VALUE"""),"http://www.fmu.edu/764/f-764.htm")</f>
        <v>http://www.fmu.edu/764/f-764.htm</v>
      </c>
      <c r="G569" s="2" t="str">
        <f t="shared" ca="1" si="0"/>
        <v>"Florida Metropolitan University</v>
      </c>
      <c r="H569" s="5" t="str">
        <f t="shared" ca="1" si="1"/>
        <v>Florida Metropolitan University</v>
      </c>
      <c r="I569" s="3" t="str">
        <f t="shared" ca="1" si="2"/>
        <v>'Florida Metropolitan University',</v>
      </c>
    </row>
    <row r="570" spans="1:9">
      <c r="A570" s="1" t="s">
        <v>568</v>
      </c>
      <c r="B570" s="3" t="str">
        <f ca="1">IFERROR(__xludf.DUMMYFUNCTION("SPLIT(A570,"","")"),"US")</f>
        <v>US</v>
      </c>
      <c r="C570" s="3" t="str">
        <f ca="1">IFERROR(__xludf.DUMMYFUNCTION("""COMPUTED_VALUE"""),"""Florida Metropolitan University")</f>
        <v>"Florida Metropolitan University</v>
      </c>
      <c r="D570" s="3" t="str">
        <f ca="1">IFERROR(__xludf.DUMMYFUNCTION("""COMPUTED_VALUE""")," Tampa College Lakeland""")</f>
        <v xml:space="preserve"> Tampa College Lakeland"</v>
      </c>
      <c r="E570" s="4" t="str">
        <f ca="1">IFERROR(__xludf.DUMMYFUNCTION("""COMPUTED_VALUE"""),"http://www.fmu.edu/765/f-765.htm")</f>
        <v>http://www.fmu.edu/765/f-765.htm</v>
      </c>
      <c r="G570" s="2" t="str">
        <f t="shared" ca="1" si="0"/>
        <v>"Florida Metropolitan University</v>
      </c>
      <c r="H570" s="5" t="str">
        <f t="shared" ca="1" si="1"/>
        <v>Florida Metropolitan University</v>
      </c>
      <c r="I570" s="3" t="str">
        <f t="shared" ca="1" si="2"/>
        <v>'Florida Metropolitan University',</v>
      </c>
    </row>
    <row r="571" spans="1:9">
      <c r="A571" s="1" t="s">
        <v>569</v>
      </c>
      <c r="B571" s="3" t="str">
        <f ca="1">IFERROR(__xludf.DUMMYFUNCTION("SPLIT(A571,"","")"),"US")</f>
        <v>US</v>
      </c>
      <c r="C571" s="3" t="str">
        <f ca="1">IFERROR(__xludf.DUMMYFUNCTION("""COMPUTED_VALUE"""),"Florida Southern College")</f>
        <v>Florida Southern College</v>
      </c>
      <c r="D571" s="4" t="str">
        <f ca="1">IFERROR(__xludf.DUMMYFUNCTION("""COMPUTED_VALUE"""),"http://www.flsouthern.edu/")</f>
        <v>http://www.flsouthern.edu/</v>
      </c>
      <c r="G571" s="2" t="str">
        <f t="shared" ca="1" si="0"/>
        <v>Florida Southern College</v>
      </c>
      <c r="H571" s="5" t="str">
        <f t="shared" ca="1" si="1"/>
        <v>Florida Southern College</v>
      </c>
      <c r="I571" s="3" t="str">
        <f t="shared" ca="1" si="2"/>
        <v>'Florida Southern College',</v>
      </c>
    </row>
    <row r="572" spans="1:9">
      <c r="A572" s="1" t="s">
        <v>570</v>
      </c>
      <c r="B572" s="3" t="str">
        <f ca="1">IFERROR(__xludf.DUMMYFUNCTION("SPLIT(A572,"","")"),"US")</f>
        <v>US</v>
      </c>
      <c r="C572" s="3" t="str">
        <f ca="1">IFERROR(__xludf.DUMMYFUNCTION("""COMPUTED_VALUE"""),"Florida State University")</f>
        <v>Florida State University</v>
      </c>
      <c r="D572" s="4" t="str">
        <f ca="1">IFERROR(__xludf.DUMMYFUNCTION("""COMPUTED_VALUE"""),"http://www.fsu.edu/")</f>
        <v>http://www.fsu.edu/</v>
      </c>
      <c r="G572" s="2" t="str">
        <f t="shared" ca="1" si="0"/>
        <v>Florida State University</v>
      </c>
      <c r="H572" s="5" t="str">
        <f t="shared" ca="1" si="1"/>
        <v>Florida State University</v>
      </c>
      <c r="I572" s="3" t="str">
        <f t="shared" ca="1" si="2"/>
        <v>'Florida State University',</v>
      </c>
    </row>
    <row r="573" spans="1:9">
      <c r="A573" s="1" t="s">
        <v>571</v>
      </c>
      <c r="B573" s="3" t="str">
        <f ca="1">IFERROR(__xludf.DUMMYFUNCTION("SPLIT(A573,"","")"),"US")</f>
        <v>US</v>
      </c>
      <c r="C573" s="3" t="str">
        <f ca="1">IFERROR(__xludf.DUMMYFUNCTION("""COMPUTED_VALUE"""),"Florida University of Medicine")</f>
        <v>Florida University of Medicine</v>
      </c>
      <c r="D573" s="4" t="str">
        <f ca="1">IFERROR(__xludf.DUMMYFUNCTION("""COMPUTED_VALUE"""),"http://www.fuom.us/")</f>
        <v>http://www.fuom.us/</v>
      </c>
      <c r="G573" s="2" t="str">
        <f t="shared" ca="1" si="0"/>
        <v>Florida University of Medicine</v>
      </c>
      <c r="H573" s="5" t="str">
        <f t="shared" ca="1" si="1"/>
        <v>Florida University of Medicine</v>
      </c>
      <c r="I573" s="3" t="str">
        <f t="shared" ca="1" si="2"/>
        <v>'Florida University of Medicine',</v>
      </c>
    </row>
    <row r="574" spans="1:9">
      <c r="A574" s="1" t="s">
        <v>572</v>
      </c>
      <c r="B574" s="3" t="str">
        <f ca="1">IFERROR(__xludf.DUMMYFUNCTION("SPLIT(A574,"","")"),"US")</f>
        <v>US</v>
      </c>
      <c r="C574" s="3" t="str">
        <f ca="1">IFERROR(__xludf.DUMMYFUNCTION("""COMPUTED_VALUE"""),"Fontbonne College")</f>
        <v>Fontbonne College</v>
      </c>
      <c r="D574" s="4" t="str">
        <f ca="1">IFERROR(__xludf.DUMMYFUNCTION("""COMPUTED_VALUE"""),"http://www.fontbonne.edu/")</f>
        <v>http://www.fontbonne.edu/</v>
      </c>
      <c r="G574" s="2" t="str">
        <f t="shared" ca="1" si="0"/>
        <v>Fontbonne College</v>
      </c>
      <c r="H574" s="5" t="str">
        <f t="shared" ca="1" si="1"/>
        <v>Fontbonne College</v>
      </c>
      <c r="I574" s="3" t="str">
        <f t="shared" ca="1" si="2"/>
        <v>'Fontbonne College',</v>
      </c>
    </row>
    <row r="575" spans="1:9">
      <c r="A575" s="1" t="s">
        <v>573</v>
      </c>
      <c r="B575" s="3" t="str">
        <f ca="1">IFERROR(__xludf.DUMMYFUNCTION("SPLIT(A575,"","")"),"US")</f>
        <v>US</v>
      </c>
      <c r="C575" s="3" t="str">
        <f ca="1">IFERROR(__xludf.DUMMYFUNCTION("""COMPUTED_VALUE"""),"Foothill-De Anza Community College District")</f>
        <v>Foothill-De Anza Community College District</v>
      </c>
      <c r="D575" s="4" t="str">
        <f ca="1">IFERROR(__xludf.DUMMYFUNCTION("""COMPUTED_VALUE"""),"http://www.fhda.edu/")</f>
        <v>http://www.fhda.edu/</v>
      </c>
      <c r="G575" s="2" t="str">
        <f t="shared" ca="1" si="0"/>
        <v>Foothill-De Anza Community College District</v>
      </c>
      <c r="H575" s="5" t="str">
        <f t="shared" ca="1" si="1"/>
        <v>Foothill-De Anza Community College District</v>
      </c>
      <c r="I575" s="3" t="str">
        <f t="shared" ca="1" si="2"/>
        <v>'Foothill-De Anza Community College District',</v>
      </c>
    </row>
    <row r="576" spans="1:9">
      <c r="A576" s="1" t="s">
        <v>574</v>
      </c>
      <c r="B576" s="3" t="str">
        <f ca="1">IFERROR(__xludf.DUMMYFUNCTION("SPLIT(A576,"","")"),"US")</f>
        <v>US</v>
      </c>
      <c r="C576" s="3" t="str">
        <f ca="1">IFERROR(__xludf.DUMMYFUNCTION("""COMPUTED_VALUE"""),"Fordham University")</f>
        <v>Fordham University</v>
      </c>
      <c r="D576" s="4" t="str">
        <f ca="1">IFERROR(__xludf.DUMMYFUNCTION("""COMPUTED_VALUE"""),"http://www.fordham.edu/")</f>
        <v>http://www.fordham.edu/</v>
      </c>
      <c r="G576" s="2" t="str">
        <f t="shared" ca="1" si="0"/>
        <v>Fordham University</v>
      </c>
      <c r="H576" s="5" t="str">
        <f t="shared" ca="1" si="1"/>
        <v>Fordham University</v>
      </c>
      <c r="I576" s="3" t="str">
        <f t="shared" ca="1" si="2"/>
        <v>'Fordham University',</v>
      </c>
    </row>
    <row r="577" spans="1:9">
      <c r="A577" s="1" t="s">
        <v>575</v>
      </c>
      <c r="B577" s="3" t="str">
        <f ca="1">IFERROR(__xludf.DUMMYFUNCTION("SPLIT(A577,"","")"),"US")</f>
        <v>US</v>
      </c>
      <c r="C577" s="3" t="str">
        <f ca="1">IFERROR(__xludf.DUMMYFUNCTION("""COMPUTED_VALUE"""),"Forest Institute of Professional Psychology")</f>
        <v>Forest Institute of Professional Psychology</v>
      </c>
      <c r="D577" s="4" t="str">
        <f ca="1">IFERROR(__xludf.DUMMYFUNCTION("""COMPUTED_VALUE"""),"http://www.forestinstitute.org/")</f>
        <v>http://www.forestinstitute.org/</v>
      </c>
      <c r="G577" s="2" t="str">
        <f t="shared" ca="1" si="0"/>
        <v>Forest Institute of Professional Psychology</v>
      </c>
      <c r="H577" s="5" t="str">
        <f t="shared" ca="1" si="1"/>
        <v>Forest Institute of Professional Psychology</v>
      </c>
      <c r="I577" s="3" t="str">
        <f t="shared" ca="1" si="2"/>
        <v>'Forest Institute of Professional Psychology',</v>
      </c>
    </row>
    <row r="578" spans="1:9">
      <c r="A578" s="1" t="s">
        <v>576</v>
      </c>
      <c r="B578" s="3" t="str">
        <f ca="1">IFERROR(__xludf.DUMMYFUNCTION("SPLIT(A578,"","")"),"US")</f>
        <v>US</v>
      </c>
      <c r="C578" s="3" t="str">
        <f ca="1">IFERROR(__xludf.DUMMYFUNCTION("""COMPUTED_VALUE"""),"Fort Hays State University")</f>
        <v>Fort Hays State University</v>
      </c>
      <c r="D578" s="4" t="str">
        <f ca="1">IFERROR(__xludf.DUMMYFUNCTION("""COMPUTED_VALUE"""),"http://www.fhsu.edu/")</f>
        <v>http://www.fhsu.edu/</v>
      </c>
      <c r="G578" s="2" t="str">
        <f t="shared" ca="1" si="0"/>
        <v>Fort Hays State University</v>
      </c>
      <c r="H578" s="5" t="str">
        <f t="shared" ca="1" si="1"/>
        <v>Fort Hays State University</v>
      </c>
      <c r="I578" s="3" t="str">
        <f t="shared" ca="1" si="2"/>
        <v>'Fort Hays State University',</v>
      </c>
    </row>
    <row r="579" spans="1:9">
      <c r="A579" s="1" t="s">
        <v>577</v>
      </c>
      <c r="B579" s="3" t="str">
        <f ca="1">IFERROR(__xludf.DUMMYFUNCTION("SPLIT(A579,"","")"),"US")</f>
        <v>US</v>
      </c>
      <c r="C579" s="3" t="str">
        <f ca="1">IFERROR(__xludf.DUMMYFUNCTION("""COMPUTED_VALUE"""),"Fort Lewis College")</f>
        <v>Fort Lewis College</v>
      </c>
      <c r="D579" s="4" t="str">
        <f ca="1">IFERROR(__xludf.DUMMYFUNCTION("""COMPUTED_VALUE"""),"http://www.fortlewis.edu/")</f>
        <v>http://www.fortlewis.edu/</v>
      </c>
      <c r="G579" s="2" t="str">
        <f t="shared" ca="1" si="0"/>
        <v>Fort Lewis College</v>
      </c>
      <c r="H579" s="5" t="str">
        <f t="shared" ca="1" si="1"/>
        <v>Fort Lewis College</v>
      </c>
      <c r="I579" s="3" t="str">
        <f t="shared" ca="1" si="2"/>
        <v>'Fort Lewis College',</v>
      </c>
    </row>
    <row r="580" spans="1:9">
      <c r="A580" s="1" t="s">
        <v>578</v>
      </c>
      <c r="B580" s="3" t="str">
        <f ca="1">IFERROR(__xludf.DUMMYFUNCTION("SPLIT(A580,"","")"),"US")</f>
        <v>US</v>
      </c>
      <c r="C580" s="3" t="str">
        <f ca="1">IFERROR(__xludf.DUMMYFUNCTION("""COMPUTED_VALUE"""),"Fort Valley State College")</f>
        <v>Fort Valley State College</v>
      </c>
      <c r="D580" s="4" t="str">
        <f ca="1">IFERROR(__xludf.DUMMYFUNCTION("""COMPUTED_VALUE"""),"http://www.fvsc.peachnet.edu/")</f>
        <v>http://www.fvsc.peachnet.edu/</v>
      </c>
      <c r="G580" s="2" t="str">
        <f t="shared" ca="1" si="0"/>
        <v>Fort Valley State College</v>
      </c>
      <c r="H580" s="5" t="str">
        <f t="shared" ca="1" si="1"/>
        <v>Fort Valley State College</v>
      </c>
      <c r="I580" s="3" t="str">
        <f t="shared" ca="1" si="2"/>
        <v>'Fort Valley State College',</v>
      </c>
    </row>
    <row r="581" spans="1:9">
      <c r="A581" s="1" t="s">
        <v>579</v>
      </c>
      <c r="B581" s="3" t="str">
        <f ca="1">IFERROR(__xludf.DUMMYFUNCTION("SPLIT(A581,"","")"),"US")</f>
        <v>US</v>
      </c>
      <c r="C581" s="3" t="str">
        <f ca="1">IFERROR(__xludf.DUMMYFUNCTION("""COMPUTED_VALUE"""),"Framingham State College")</f>
        <v>Framingham State College</v>
      </c>
      <c r="D581" s="4" t="str">
        <f ca="1">IFERROR(__xludf.DUMMYFUNCTION("""COMPUTED_VALUE"""),"http://www.framingham.edu/")</f>
        <v>http://www.framingham.edu/</v>
      </c>
      <c r="G581" s="2" t="str">
        <f t="shared" ca="1" si="0"/>
        <v>Framingham State College</v>
      </c>
      <c r="H581" s="5" t="str">
        <f t="shared" ca="1" si="1"/>
        <v>Framingham State College</v>
      </c>
      <c r="I581" s="3" t="str">
        <f t="shared" ca="1" si="2"/>
        <v>'Framingham State College',</v>
      </c>
    </row>
    <row r="582" spans="1:9">
      <c r="A582" s="1" t="s">
        <v>580</v>
      </c>
      <c r="B582" s="3" t="str">
        <f ca="1">IFERROR(__xludf.DUMMYFUNCTION("SPLIT(A582,"","")"),"US")</f>
        <v>US</v>
      </c>
      <c r="C582" s="3" t="str">
        <f ca="1">IFERROR(__xludf.DUMMYFUNCTION("""COMPUTED_VALUE"""),"Franciscan School of Theology")</f>
        <v>Franciscan School of Theology</v>
      </c>
      <c r="D582" s="4" t="str">
        <f ca="1">IFERROR(__xludf.DUMMYFUNCTION("""COMPUTED_VALUE"""),"http://www.fst.edu/")</f>
        <v>http://www.fst.edu/</v>
      </c>
      <c r="G582" s="2" t="str">
        <f t="shared" ca="1" si="0"/>
        <v>Franciscan School of Theology</v>
      </c>
      <c r="H582" s="5" t="str">
        <f t="shared" ca="1" si="1"/>
        <v>Franciscan School of Theology</v>
      </c>
      <c r="I582" s="3" t="str">
        <f t="shared" ca="1" si="2"/>
        <v>'Franciscan School of Theology',</v>
      </c>
    </row>
    <row r="583" spans="1:9">
      <c r="A583" s="1" t="s">
        <v>581</v>
      </c>
      <c r="B583" s="3" t="str">
        <f ca="1">IFERROR(__xludf.DUMMYFUNCTION("SPLIT(A583,"","")"),"US")</f>
        <v>US</v>
      </c>
      <c r="C583" s="3" t="str">
        <f ca="1">IFERROR(__xludf.DUMMYFUNCTION("""COMPUTED_VALUE"""),"Franciscan University of Steubenville")</f>
        <v>Franciscan University of Steubenville</v>
      </c>
      <c r="D583" s="4" t="str">
        <f ca="1">IFERROR(__xludf.DUMMYFUNCTION("""COMPUTED_VALUE"""),"http://www.franuniv.edu/")</f>
        <v>http://www.franuniv.edu/</v>
      </c>
      <c r="G583" s="2" t="str">
        <f t="shared" ca="1" si="0"/>
        <v>Franciscan University of Steubenville</v>
      </c>
      <c r="H583" s="5" t="str">
        <f t="shared" ca="1" si="1"/>
        <v>Franciscan University of Steubenville</v>
      </c>
      <c r="I583" s="3" t="str">
        <f t="shared" ca="1" si="2"/>
        <v>'Franciscan University of Steubenville',</v>
      </c>
    </row>
    <row r="584" spans="1:9">
      <c r="A584" s="1" t="s">
        <v>582</v>
      </c>
      <c r="B584" s="3" t="str">
        <f ca="1">IFERROR(__xludf.DUMMYFUNCTION("SPLIT(A584,"","")"),"US")</f>
        <v>US</v>
      </c>
      <c r="C584" s="3" t="str">
        <f ca="1">IFERROR(__xludf.DUMMYFUNCTION("""COMPUTED_VALUE"""),"Francis Marion University")</f>
        <v>Francis Marion University</v>
      </c>
      <c r="D584" s="4" t="str">
        <f ca="1">IFERROR(__xludf.DUMMYFUNCTION("""COMPUTED_VALUE"""),"http://www.fmarion.edu/")</f>
        <v>http://www.fmarion.edu/</v>
      </c>
      <c r="G584" s="2" t="str">
        <f t="shared" ca="1" si="0"/>
        <v>Francis Marion University</v>
      </c>
      <c r="H584" s="5" t="str">
        <f t="shared" ca="1" si="1"/>
        <v>Francis Marion University</v>
      </c>
      <c r="I584" s="3" t="str">
        <f t="shared" ca="1" si="2"/>
        <v>'Francis Marion University',</v>
      </c>
    </row>
    <row r="585" spans="1:9">
      <c r="A585" s="1" t="s">
        <v>583</v>
      </c>
      <c r="B585" s="3" t="str">
        <f ca="1">IFERROR(__xludf.DUMMYFUNCTION("SPLIT(A585,"","")"),"US")</f>
        <v>US</v>
      </c>
      <c r="C585" s="3" t="str">
        <f ca="1">IFERROR(__xludf.DUMMYFUNCTION("""COMPUTED_VALUE"""),"Franklin and Marshall College")</f>
        <v>Franklin and Marshall College</v>
      </c>
      <c r="D585" s="4" t="str">
        <f ca="1">IFERROR(__xludf.DUMMYFUNCTION("""COMPUTED_VALUE"""),"http://www.fandm.edu/")</f>
        <v>http://www.fandm.edu/</v>
      </c>
      <c r="G585" s="2" t="str">
        <f t="shared" ca="1" si="0"/>
        <v>Franklin and Marshall College</v>
      </c>
      <c r="H585" s="5" t="str">
        <f t="shared" ca="1" si="1"/>
        <v>Franklin and Marshall College</v>
      </c>
      <c r="I585" s="3" t="str">
        <f t="shared" ca="1" si="2"/>
        <v>'Franklin and Marshall College',</v>
      </c>
    </row>
    <row r="586" spans="1:9">
      <c r="A586" s="1" t="s">
        <v>584</v>
      </c>
      <c r="B586" s="3" t="str">
        <f ca="1">IFERROR(__xludf.DUMMYFUNCTION("SPLIT(A586,"","")"),"US")</f>
        <v>US</v>
      </c>
      <c r="C586" s="3" t="str">
        <f ca="1">IFERROR(__xludf.DUMMYFUNCTION("""COMPUTED_VALUE"""),"Franklin College")</f>
        <v>Franklin College</v>
      </c>
      <c r="D586" s="4" t="str">
        <f ca="1">IFERROR(__xludf.DUMMYFUNCTION("""COMPUTED_VALUE"""),"http://www.franklincoll.edu/")</f>
        <v>http://www.franklincoll.edu/</v>
      </c>
      <c r="G586" s="2" t="str">
        <f t="shared" ca="1" si="0"/>
        <v>Franklin College</v>
      </c>
      <c r="H586" s="5" t="str">
        <f t="shared" ca="1" si="1"/>
        <v>Franklin College</v>
      </c>
      <c r="I586" s="3" t="str">
        <f t="shared" ca="1" si="2"/>
        <v>'Franklin College',</v>
      </c>
    </row>
    <row r="587" spans="1:9">
      <c r="A587" s="1" t="s">
        <v>585</v>
      </c>
      <c r="B587" s="3" t="str">
        <f ca="1">IFERROR(__xludf.DUMMYFUNCTION("SPLIT(A587,"","")"),"US")</f>
        <v>US</v>
      </c>
      <c r="C587" s="3" t="str">
        <f ca="1">IFERROR(__xludf.DUMMYFUNCTION("""COMPUTED_VALUE"""),"Franklin Pierce College")</f>
        <v>Franklin Pierce College</v>
      </c>
      <c r="D587" s="4" t="str">
        <f ca="1">IFERROR(__xludf.DUMMYFUNCTION("""COMPUTED_VALUE"""),"http://www.fpc.edu/")</f>
        <v>http://www.fpc.edu/</v>
      </c>
      <c r="G587" s="2" t="str">
        <f t="shared" ca="1" si="0"/>
        <v>Franklin Pierce College</v>
      </c>
      <c r="H587" s="5" t="str">
        <f t="shared" ca="1" si="1"/>
        <v>Franklin Pierce College</v>
      </c>
      <c r="I587" s="3" t="str">
        <f t="shared" ca="1" si="2"/>
        <v>'Franklin Pierce College',</v>
      </c>
    </row>
    <row r="588" spans="1:9">
      <c r="A588" s="1" t="s">
        <v>586</v>
      </c>
      <c r="B588" s="3" t="str">
        <f ca="1">IFERROR(__xludf.DUMMYFUNCTION("SPLIT(A588,"","")"),"US")</f>
        <v>US</v>
      </c>
      <c r="C588" s="3" t="str">
        <f ca="1">IFERROR(__xludf.DUMMYFUNCTION("""COMPUTED_VALUE"""),"Franklin Pierce Law Center")</f>
        <v>Franklin Pierce Law Center</v>
      </c>
      <c r="D588" s="4" t="str">
        <f ca="1">IFERROR(__xludf.DUMMYFUNCTION("""COMPUTED_VALUE"""),"http://www.fplc.edu/")</f>
        <v>http://www.fplc.edu/</v>
      </c>
      <c r="G588" s="2" t="str">
        <f t="shared" ca="1" si="0"/>
        <v>Franklin Pierce Law Center</v>
      </c>
      <c r="H588" s="5" t="str">
        <f t="shared" ca="1" si="1"/>
        <v>Franklin Pierce Law Center</v>
      </c>
      <c r="I588" s="3" t="str">
        <f t="shared" ca="1" si="2"/>
        <v>'Franklin Pierce Law Center',</v>
      </c>
    </row>
    <row r="589" spans="1:9">
      <c r="A589" s="1" t="s">
        <v>587</v>
      </c>
      <c r="B589" s="3" t="str">
        <f ca="1">IFERROR(__xludf.DUMMYFUNCTION("SPLIT(A589,"","")"),"US")</f>
        <v>US</v>
      </c>
      <c r="C589" s="3" t="str">
        <f ca="1">IFERROR(__xludf.DUMMYFUNCTION("""COMPUTED_VALUE"""),"Franklin University")</f>
        <v>Franklin University</v>
      </c>
      <c r="D589" s="4" t="str">
        <f ca="1">IFERROR(__xludf.DUMMYFUNCTION("""COMPUTED_VALUE"""),"http://www.franklin.edu/")</f>
        <v>http://www.franklin.edu/</v>
      </c>
      <c r="G589" s="2" t="str">
        <f t="shared" ca="1" si="0"/>
        <v>Franklin University</v>
      </c>
      <c r="H589" s="5" t="str">
        <f t="shared" ca="1" si="1"/>
        <v>Franklin University</v>
      </c>
      <c r="I589" s="3" t="str">
        <f t="shared" ca="1" si="2"/>
        <v>'Franklin University',</v>
      </c>
    </row>
    <row r="590" spans="1:9">
      <c r="A590" s="1" t="s">
        <v>588</v>
      </c>
      <c r="B590" s="3" t="str">
        <f ca="1">IFERROR(__xludf.DUMMYFUNCTION("SPLIT(A590,"","")"),"US")</f>
        <v>US</v>
      </c>
      <c r="C590" s="3" t="str">
        <f ca="1">IFERROR(__xludf.DUMMYFUNCTION("""COMPUTED_VALUE"""),"Franklin W. Olin College of Engineering")</f>
        <v>Franklin W. Olin College of Engineering</v>
      </c>
      <c r="D590" s="4" t="str">
        <f ca="1">IFERROR(__xludf.DUMMYFUNCTION("""COMPUTED_VALUE"""),"http://www.olin.edu/")</f>
        <v>http://www.olin.edu/</v>
      </c>
      <c r="G590" s="2" t="str">
        <f t="shared" ca="1" si="0"/>
        <v>Franklin W. Olin College of Engineering</v>
      </c>
      <c r="H590" s="5" t="str">
        <f t="shared" ca="1" si="1"/>
        <v>Franklin W. Olin College of Engineering</v>
      </c>
      <c r="I590" s="3" t="str">
        <f t="shared" ca="1" si="2"/>
        <v>'Franklin W. Olin College of Engineering',</v>
      </c>
    </row>
    <row r="591" spans="1:9">
      <c r="A591" s="1" t="s">
        <v>589</v>
      </c>
      <c r="B591" s="3" t="str">
        <f ca="1">IFERROR(__xludf.DUMMYFUNCTION("SPLIT(A591,"","")"),"US")</f>
        <v>US</v>
      </c>
      <c r="C591" s="3" t="str">
        <f ca="1">IFERROR(__xludf.DUMMYFUNCTION("""COMPUTED_VALUE"""),"Frank Lloyd Wright School of Architecture")</f>
        <v>Frank Lloyd Wright School of Architecture</v>
      </c>
      <c r="D591" s="4" t="str">
        <f ca="1">IFERROR(__xludf.DUMMYFUNCTION("""COMPUTED_VALUE"""),"http://www.taliesin.edu/")</f>
        <v>http://www.taliesin.edu/</v>
      </c>
      <c r="G591" s="2" t="str">
        <f t="shared" ca="1" si="0"/>
        <v>Frank Lloyd Wright School of Architecture</v>
      </c>
      <c r="H591" s="5" t="str">
        <f t="shared" ca="1" si="1"/>
        <v>Frank Lloyd Wright School of Architecture</v>
      </c>
      <c r="I591" s="3" t="str">
        <f t="shared" ca="1" si="2"/>
        <v>'Frank Lloyd Wright School of Architecture',</v>
      </c>
    </row>
    <row r="592" spans="1:9">
      <c r="A592" s="1" t="s">
        <v>590</v>
      </c>
      <c r="B592" s="3" t="str">
        <f ca="1">IFERROR(__xludf.DUMMYFUNCTION("SPLIT(A592,"","")"),"US")</f>
        <v>US</v>
      </c>
      <c r="C592" s="3" t="str">
        <f ca="1">IFERROR(__xludf.DUMMYFUNCTION("""COMPUTED_VALUE"""),"Fred Hutchinson Cancer Research Center")</f>
        <v>Fred Hutchinson Cancer Research Center</v>
      </c>
      <c r="D592" s="4" t="str">
        <f ca="1">IFERROR(__xludf.DUMMYFUNCTION("""COMPUTED_VALUE"""),"http://www.fhcrc.org/")</f>
        <v>http://www.fhcrc.org/</v>
      </c>
      <c r="G592" s="2" t="str">
        <f t="shared" ca="1" si="0"/>
        <v>Fred Hutchinson Cancer Research Center</v>
      </c>
      <c r="H592" s="5" t="str">
        <f t="shared" ca="1" si="1"/>
        <v>Fred Hutchinson Cancer Research Center</v>
      </c>
      <c r="I592" s="3" t="str">
        <f t="shared" ca="1" si="2"/>
        <v>'Fred Hutchinson Cancer Research Center',</v>
      </c>
    </row>
    <row r="593" spans="1:9">
      <c r="A593" s="1" t="s">
        <v>591</v>
      </c>
      <c r="B593" s="3" t="str">
        <f ca="1">IFERROR(__xludf.DUMMYFUNCTION("SPLIT(A593,"","")"),"US")</f>
        <v>US</v>
      </c>
      <c r="C593" s="3" t="str">
        <f ca="1">IFERROR(__xludf.DUMMYFUNCTION("""COMPUTED_VALUE"""),"Freed-Hardeman University")</f>
        <v>Freed-Hardeman University</v>
      </c>
      <c r="D593" s="4" t="str">
        <f ca="1">IFERROR(__xludf.DUMMYFUNCTION("""COMPUTED_VALUE"""),"http://www.fhu.edu/")</f>
        <v>http://www.fhu.edu/</v>
      </c>
      <c r="G593" s="2" t="str">
        <f t="shared" ca="1" si="0"/>
        <v>Freed-Hardeman University</v>
      </c>
      <c r="H593" s="5" t="str">
        <f t="shared" ca="1" si="1"/>
        <v>Freed-Hardeman University</v>
      </c>
      <c r="I593" s="3" t="str">
        <f t="shared" ca="1" si="2"/>
        <v>'Freed-Hardeman University',</v>
      </c>
    </row>
    <row r="594" spans="1:9">
      <c r="A594" s="1" t="s">
        <v>592</v>
      </c>
      <c r="B594" s="3" t="str">
        <f ca="1">IFERROR(__xludf.DUMMYFUNCTION("SPLIT(A594,"","")"),"US")</f>
        <v>US</v>
      </c>
      <c r="C594" s="3" t="str">
        <f ca="1">IFERROR(__xludf.DUMMYFUNCTION("""COMPUTED_VALUE"""),"Free University (Virginia Theological University)")</f>
        <v>Free University (Virginia Theological University)</v>
      </c>
      <c r="D594" s="4" t="str">
        <f ca="1">IFERROR(__xludf.DUMMYFUNCTION("""COMPUTED_VALUE"""),"http://www.vtu.edu/")</f>
        <v>http://www.vtu.edu/</v>
      </c>
      <c r="G594" s="2" t="str">
        <f t="shared" ca="1" si="0"/>
        <v>Free University (Virginia Theological University)</v>
      </c>
      <c r="H594" s="5" t="str">
        <f t="shared" ca="1" si="1"/>
        <v>Free University (Virginia Theological University)</v>
      </c>
      <c r="I594" s="3" t="str">
        <f t="shared" ca="1" si="2"/>
        <v>'Free University (Virginia Theological University)',</v>
      </c>
    </row>
    <row r="595" spans="1:9">
      <c r="A595" s="1" t="s">
        <v>593</v>
      </c>
      <c r="B595" s="3" t="str">
        <f ca="1">IFERROR(__xludf.DUMMYFUNCTION("SPLIT(A595,"","")"),"US")</f>
        <v>US</v>
      </c>
      <c r="C595" s="3" t="str">
        <f ca="1">IFERROR(__xludf.DUMMYFUNCTION("""COMPUTED_VALUE"""),"Free Will Baptist Bible College")</f>
        <v>Free Will Baptist Bible College</v>
      </c>
      <c r="D595" s="4" t="str">
        <f ca="1">IFERROR(__xludf.DUMMYFUNCTION("""COMPUTED_VALUE"""),"http://www.fwbbc.edu/")</f>
        <v>http://www.fwbbc.edu/</v>
      </c>
      <c r="G595" s="2" t="str">
        <f t="shared" ca="1" si="0"/>
        <v>Free Will Baptist Bible College</v>
      </c>
      <c r="H595" s="5" t="str">
        <f t="shared" ca="1" si="1"/>
        <v>Free Will Baptist Bible College</v>
      </c>
      <c r="I595" s="3" t="str">
        <f t="shared" ca="1" si="2"/>
        <v>'Free Will Baptist Bible College',</v>
      </c>
    </row>
    <row r="596" spans="1:9">
      <c r="A596" s="1" t="s">
        <v>594</v>
      </c>
      <c r="B596" s="3" t="str">
        <f ca="1">IFERROR(__xludf.DUMMYFUNCTION("SPLIT(A596,"","")"),"US")</f>
        <v>US</v>
      </c>
      <c r="C596" s="3" t="str">
        <f ca="1">IFERROR(__xludf.DUMMYFUNCTION("""COMPUTED_VALUE"""),"Fresno City College")</f>
        <v>Fresno City College</v>
      </c>
      <c r="D596" s="4" t="str">
        <f ca="1">IFERROR(__xludf.DUMMYFUNCTION("""COMPUTED_VALUE"""),"http://www.fresnocitycollege.edu/")</f>
        <v>http://www.fresnocitycollege.edu/</v>
      </c>
      <c r="G596" s="2" t="str">
        <f t="shared" ca="1" si="0"/>
        <v>Fresno City College</v>
      </c>
      <c r="H596" s="5" t="str">
        <f t="shared" ca="1" si="1"/>
        <v>Fresno City College</v>
      </c>
      <c r="I596" s="3" t="str">
        <f t="shared" ca="1" si="2"/>
        <v>'Fresno City College',</v>
      </c>
    </row>
    <row r="597" spans="1:9">
      <c r="A597" s="1" t="s">
        <v>595</v>
      </c>
      <c r="B597" s="3" t="str">
        <f ca="1">IFERROR(__xludf.DUMMYFUNCTION("SPLIT(A597,"","")"),"US")</f>
        <v>US</v>
      </c>
      <c r="C597" s="3" t="str">
        <f ca="1">IFERROR(__xludf.DUMMYFUNCTION("""COMPUTED_VALUE"""),"Fresno Pacific University")</f>
        <v>Fresno Pacific University</v>
      </c>
      <c r="D597" s="4" t="str">
        <f ca="1">IFERROR(__xludf.DUMMYFUNCTION("""COMPUTED_VALUE"""),"http://www.fresno.edu/")</f>
        <v>http://www.fresno.edu/</v>
      </c>
      <c r="G597" s="2" t="str">
        <f t="shared" ca="1" si="0"/>
        <v>Fresno Pacific University</v>
      </c>
      <c r="H597" s="5" t="str">
        <f t="shared" ca="1" si="1"/>
        <v>Fresno Pacific University</v>
      </c>
      <c r="I597" s="3" t="str">
        <f t="shared" ca="1" si="2"/>
        <v>'Fresno Pacific University',</v>
      </c>
    </row>
    <row r="598" spans="1:9">
      <c r="A598" s="1" t="s">
        <v>596</v>
      </c>
      <c r="B598" s="3" t="str">
        <f ca="1">IFERROR(__xludf.DUMMYFUNCTION("SPLIT(A598,"","")"),"US")</f>
        <v>US</v>
      </c>
      <c r="C598" s="3" t="str">
        <f ca="1">IFERROR(__xludf.DUMMYFUNCTION("""COMPUTED_VALUE"""),"Friends University")</f>
        <v>Friends University</v>
      </c>
      <c r="D598" s="4" t="str">
        <f ca="1">IFERROR(__xludf.DUMMYFUNCTION("""COMPUTED_VALUE"""),"http://www.friends.edu/")</f>
        <v>http://www.friends.edu/</v>
      </c>
      <c r="G598" s="2" t="str">
        <f t="shared" ca="1" si="0"/>
        <v>Friends University</v>
      </c>
      <c r="H598" s="5" t="str">
        <f t="shared" ca="1" si="1"/>
        <v>Friends University</v>
      </c>
      <c r="I598" s="3" t="str">
        <f t="shared" ca="1" si="2"/>
        <v>'Friends University',</v>
      </c>
    </row>
    <row r="599" spans="1:9">
      <c r="A599" s="1" t="s">
        <v>597</v>
      </c>
      <c r="B599" s="3" t="str">
        <f ca="1">IFERROR(__xludf.DUMMYFUNCTION("SPLIT(A599,"","")"),"US")</f>
        <v>US</v>
      </c>
      <c r="C599" s="3" t="str">
        <f ca="1">IFERROR(__xludf.DUMMYFUNCTION("""COMPUTED_VALUE"""),"Frostburg State University")</f>
        <v>Frostburg State University</v>
      </c>
      <c r="D599" s="4" t="str">
        <f ca="1">IFERROR(__xludf.DUMMYFUNCTION("""COMPUTED_VALUE"""),"http://www.fsu.umd.edu/")</f>
        <v>http://www.fsu.umd.edu/</v>
      </c>
      <c r="G599" s="2" t="str">
        <f t="shared" ca="1" si="0"/>
        <v>Frostburg State University</v>
      </c>
      <c r="H599" s="5" t="str">
        <f t="shared" ca="1" si="1"/>
        <v>Frostburg State University</v>
      </c>
      <c r="I599" s="3" t="str">
        <f t="shared" ca="1" si="2"/>
        <v>'Frostburg State University',</v>
      </c>
    </row>
    <row r="600" spans="1:9">
      <c r="A600" s="1" t="s">
        <v>598</v>
      </c>
      <c r="B600" s="3" t="str">
        <f ca="1">IFERROR(__xludf.DUMMYFUNCTION("SPLIT(A600,"","")"),"US")</f>
        <v>US</v>
      </c>
      <c r="C600" s="3" t="str">
        <f ca="1">IFERROR(__xludf.DUMMYFUNCTION("""COMPUTED_VALUE"""),"Full Sail University")</f>
        <v>Full Sail University</v>
      </c>
      <c r="D600" s="4" t="str">
        <f ca="1">IFERROR(__xludf.DUMMYFUNCTION("""COMPUTED_VALUE"""),"http://www.fullsail.com/")</f>
        <v>http://www.fullsail.com/</v>
      </c>
      <c r="G600" s="2" t="str">
        <f t="shared" ca="1" si="0"/>
        <v>Full Sail University</v>
      </c>
      <c r="H600" s="5" t="str">
        <f t="shared" ca="1" si="1"/>
        <v>Full Sail University</v>
      </c>
      <c r="I600" s="3" t="str">
        <f t="shared" ca="1" si="2"/>
        <v>'Full Sail University',</v>
      </c>
    </row>
    <row r="601" spans="1:9">
      <c r="A601" s="1" t="s">
        <v>599</v>
      </c>
      <c r="B601" s="3" t="str">
        <f ca="1">IFERROR(__xludf.DUMMYFUNCTION("SPLIT(A601,"","")"),"US")</f>
        <v>US</v>
      </c>
      <c r="C601" s="3" t="str">
        <f ca="1">IFERROR(__xludf.DUMMYFUNCTION("""COMPUTED_VALUE"""),"Furman University")</f>
        <v>Furman University</v>
      </c>
      <c r="D601" s="4" t="str">
        <f ca="1">IFERROR(__xludf.DUMMYFUNCTION("""COMPUTED_VALUE"""),"http://www.furman.edu/")</f>
        <v>http://www.furman.edu/</v>
      </c>
      <c r="G601" s="2" t="str">
        <f t="shared" ca="1" si="0"/>
        <v>Furman University</v>
      </c>
      <c r="H601" s="5" t="str">
        <f t="shared" ca="1" si="1"/>
        <v>Furman University</v>
      </c>
      <c r="I601" s="3" t="str">
        <f t="shared" ca="1" si="2"/>
        <v>'Furman University',</v>
      </c>
    </row>
    <row r="602" spans="1:9">
      <c r="A602" s="1" t="s">
        <v>600</v>
      </c>
      <c r="B602" s="3" t="str">
        <f ca="1">IFERROR(__xludf.DUMMYFUNCTION("SPLIT(A602,"","")"),"US")</f>
        <v>US</v>
      </c>
      <c r="C602" s="3" t="str">
        <f ca="1">IFERROR(__xludf.DUMMYFUNCTION("""COMPUTED_VALUE"""),"Gallaudet University")</f>
        <v>Gallaudet University</v>
      </c>
      <c r="D602" s="4" t="str">
        <f ca="1">IFERROR(__xludf.DUMMYFUNCTION("""COMPUTED_VALUE"""),"http://www.gallaudet.edu/")</f>
        <v>http://www.gallaudet.edu/</v>
      </c>
      <c r="G602" s="2" t="str">
        <f t="shared" ca="1" si="0"/>
        <v>Gallaudet University</v>
      </c>
      <c r="H602" s="5" t="str">
        <f t="shared" ca="1" si="1"/>
        <v>Gallaudet University</v>
      </c>
      <c r="I602" s="3" t="str">
        <f t="shared" ca="1" si="2"/>
        <v>'Gallaudet University',</v>
      </c>
    </row>
    <row r="603" spans="1:9">
      <c r="A603" s="1" t="s">
        <v>601</v>
      </c>
      <c r="B603" s="3" t="str">
        <f ca="1">IFERROR(__xludf.DUMMYFUNCTION("SPLIT(A603,"","")"),"US")</f>
        <v>US</v>
      </c>
      <c r="C603" s="3" t="str">
        <f ca="1">IFERROR(__xludf.DUMMYFUNCTION("""COMPUTED_VALUE"""),"Gannon University")</f>
        <v>Gannon University</v>
      </c>
      <c r="D603" s="4" t="str">
        <f ca="1">IFERROR(__xludf.DUMMYFUNCTION("""COMPUTED_VALUE"""),"http://www.gannon.edu/")</f>
        <v>http://www.gannon.edu/</v>
      </c>
      <c r="G603" s="2" t="str">
        <f t="shared" ca="1" si="0"/>
        <v>Gannon University</v>
      </c>
      <c r="H603" s="5" t="str">
        <f t="shared" ca="1" si="1"/>
        <v>Gannon University</v>
      </c>
      <c r="I603" s="3" t="str">
        <f t="shared" ca="1" si="2"/>
        <v>'Gannon University',</v>
      </c>
    </row>
    <row r="604" spans="1:9">
      <c r="A604" s="1" t="s">
        <v>602</v>
      </c>
      <c r="B604" s="3" t="str">
        <f ca="1">IFERROR(__xludf.DUMMYFUNCTION("SPLIT(A604,"","")"),"US")</f>
        <v>US</v>
      </c>
      <c r="C604" s="3" t="str">
        <f ca="1">IFERROR(__xludf.DUMMYFUNCTION("""COMPUTED_VALUE"""),"Gardner Webb University")</f>
        <v>Gardner Webb University</v>
      </c>
      <c r="D604" s="4" t="str">
        <f ca="1">IFERROR(__xludf.DUMMYFUNCTION("""COMPUTED_VALUE"""),"http://www.gardner-webb.edu/")</f>
        <v>http://www.gardner-webb.edu/</v>
      </c>
      <c r="G604" s="2" t="str">
        <f t="shared" ca="1" si="0"/>
        <v>Gardner Webb University</v>
      </c>
      <c r="H604" s="5" t="str">
        <f t="shared" ca="1" si="1"/>
        <v>Gardner Webb University</v>
      </c>
      <c r="I604" s="3" t="str">
        <f t="shared" ca="1" si="2"/>
        <v>'Gardner Webb University',</v>
      </c>
    </row>
    <row r="605" spans="1:9">
      <c r="A605" s="1" t="s">
        <v>603</v>
      </c>
      <c r="B605" s="3" t="str">
        <f ca="1">IFERROR(__xludf.DUMMYFUNCTION("SPLIT(A605,"","")"),"US")</f>
        <v>US</v>
      </c>
      <c r="C605" s="3" t="str">
        <f ca="1">IFERROR(__xludf.DUMMYFUNCTION("""COMPUTED_VALUE"""),"Gemological Institute of America")</f>
        <v>Gemological Institute of America</v>
      </c>
      <c r="D605" s="4" t="str">
        <f ca="1">IFERROR(__xludf.DUMMYFUNCTION("""COMPUTED_VALUE"""),"http://www.gia.edu/")</f>
        <v>http://www.gia.edu/</v>
      </c>
      <c r="G605" s="2" t="str">
        <f t="shared" ca="1" si="0"/>
        <v>Gemological Institute of America</v>
      </c>
      <c r="H605" s="5" t="str">
        <f t="shared" ca="1" si="1"/>
        <v>Gemological Institute of America</v>
      </c>
      <c r="I605" s="3" t="str">
        <f t="shared" ca="1" si="2"/>
        <v>'Gemological Institute of America',</v>
      </c>
    </row>
    <row r="606" spans="1:9">
      <c r="A606" s="1" t="s">
        <v>604</v>
      </c>
      <c r="B606" s="3" t="str">
        <f ca="1">IFERROR(__xludf.DUMMYFUNCTION("SPLIT(A606,"","")"),"US")</f>
        <v>US</v>
      </c>
      <c r="C606" s="3" t="str">
        <f ca="1">IFERROR(__xludf.DUMMYFUNCTION("""COMPUTED_VALUE"""),"Geneva College")</f>
        <v>Geneva College</v>
      </c>
      <c r="D606" s="4" t="str">
        <f ca="1">IFERROR(__xludf.DUMMYFUNCTION("""COMPUTED_VALUE"""),"http://www.geneva.edu/")</f>
        <v>http://www.geneva.edu/</v>
      </c>
      <c r="G606" s="2" t="str">
        <f t="shared" ca="1" si="0"/>
        <v>Geneva College</v>
      </c>
      <c r="H606" s="5" t="str">
        <f t="shared" ca="1" si="1"/>
        <v>Geneva College</v>
      </c>
      <c r="I606" s="3" t="str">
        <f t="shared" ca="1" si="2"/>
        <v>'Geneva College',</v>
      </c>
    </row>
    <row r="607" spans="1:9">
      <c r="A607" s="1" t="s">
        <v>605</v>
      </c>
      <c r="B607" s="3" t="str">
        <f ca="1">IFERROR(__xludf.DUMMYFUNCTION("SPLIT(A607,"","")"),"US")</f>
        <v>US</v>
      </c>
      <c r="C607" s="3" t="str">
        <f ca="1">IFERROR(__xludf.DUMMYFUNCTION("""COMPUTED_VALUE"""),"George Fox University")</f>
        <v>George Fox University</v>
      </c>
      <c r="D607" s="4" t="str">
        <f ca="1">IFERROR(__xludf.DUMMYFUNCTION("""COMPUTED_VALUE"""),"http://www.georgefox.edu/")</f>
        <v>http://www.georgefox.edu/</v>
      </c>
      <c r="G607" s="2" t="str">
        <f t="shared" ca="1" si="0"/>
        <v>George Fox University</v>
      </c>
      <c r="H607" s="5" t="str">
        <f t="shared" ca="1" si="1"/>
        <v>George Fox University</v>
      </c>
      <c r="I607" s="3" t="str">
        <f t="shared" ca="1" si="2"/>
        <v>'George Fox University',</v>
      </c>
    </row>
    <row r="608" spans="1:9">
      <c r="A608" s="1" t="s">
        <v>606</v>
      </c>
      <c r="B608" s="3" t="str">
        <f ca="1">IFERROR(__xludf.DUMMYFUNCTION("SPLIT(A608,"","")"),"US")</f>
        <v>US</v>
      </c>
      <c r="C608" s="3" t="str">
        <f ca="1">IFERROR(__xludf.DUMMYFUNCTION("""COMPUTED_VALUE"""),"George Mason University")</f>
        <v>George Mason University</v>
      </c>
      <c r="D608" s="4" t="str">
        <f ca="1">IFERROR(__xludf.DUMMYFUNCTION("""COMPUTED_VALUE"""),"http://www.gmu.edu/")</f>
        <v>http://www.gmu.edu/</v>
      </c>
      <c r="G608" s="2" t="str">
        <f t="shared" ca="1" si="0"/>
        <v>George Mason University</v>
      </c>
      <c r="H608" s="5" t="str">
        <f t="shared" ca="1" si="1"/>
        <v>George Mason University</v>
      </c>
      <c r="I608" s="3" t="str">
        <f t="shared" ca="1" si="2"/>
        <v>'George Mason University',</v>
      </c>
    </row>
    <row r="609" spans="1:9">
      <c r="A609" s="1" t="s">
        <v>607</v>
      </c>
      <c r="B609" s="3" t="str">
        <f ca="1">IFERROR(__xludf.DUMMYFUNCTION("SPLIT(A609,"","")"),"US")</f>
        <v>US</v>
      </c>
      <c r="C609" s="3" t="str">
        <f ca="1">IFERROR(__xludf.DUMMYFUNCTION("""COMPUTED_VALUE"""),"Georgetown College")</f>
        <v>Georgetown College</v>
      </c>
      <c r="D609" s="4" t="str">
        <f ca="1">IFERROR(__xludf.DUMMYFUNCTION("""COMPUTED_VALUE"""),"http://www.georgetowncollege.edu/")</f>
        <v>http://www.georgetowncollege.edu/</v>
      </c>
      <c r="G609" s="2" t="str">
        <f t="shared" ca="1" si="0"/>
        <v>Georgetown College</v>
      </c>
      <c r="H609" s="5" t="str">
        <f t="shared" ca="1" si="1"/>
        <v>Georgetown College</v>
      </c>
      <c r="I609" s="3" t="str">
        <f t="shared" ca="1" si="2"/>
        <v>'Georgetown College',</v>
      </c>
    </row>
    <row r="610" spans="1:9">
      <c r="A610" s="1" t="s">
        <v>608</v>
      </c>
      <c r="B610" s="3" t="str">
        <f ca="1">IFERROR(__xludf.DUMMYFUNCTION("SPLIT(A610,"","")"),"US")</f>
        <v>US</v>
      </c>
      <c r="C610" s="3" t="str">
        <f ca="1">IFERROR(__xludf.DUMMYFUNCTION("""COMPUTED_VALUE"""),"Georgetown University")</f>
        <v>Georgetown University</v>
      </c>
      <c r="D610" s="4" t="str">
        <f ca="1">IFERROR(__xludf.DUMMYFUNCTION("""COMPUTED_VALUE"""),"http://www.georgetown.edu/")</f>
        <v>http://www.georgetown.edu/</v>
      </c>
      <c r="G610" s="2" t="str">
        <f t="shared" ca="1" si="0"/>
        <v>Georgetown University</v>
      </c>
      <c r="H610" s="5" t="str">
        <f t="shared" ca="1" si="1"/>
        <v>Georgetown University</v>
      </c>
      <c r="I610" s="3" t="str">
        <f t="shared" ca="1" si="2"/>
        <v>'Georgetown University',</v>
      </c>
    </row>
    <row r="611" spans="1:9">
      <c r="A611" s="1" t="s">
        <v>609</v>
      </c>
      <c r="B611" s="3" t="str">
        <f ca="1">IFERROR(__xludf.DUMMYFUNCTION("SPLIT(A611,"","")"),"US")</f>
        <v>US</v>
      </c>
      <c r="C611" s="3" t="str">
        <f ca="1">IFERROR(__xludf.DUMMYFUNCTION("""COMPUTED_VALUE"""),"George Washington University")</f>
        <v>George Washington University</v>
      </c>
      <c r="D611" s="4" t="str">
        <f ca="1">IFERROR(__xludf.DUMMYFUNCTION("""COMPUTED_VALUE"""),"http://www.gwu.edu/")</f>
        <v>http://www.gwu.edu/</v>
      </c>
      <c r="G611" s="2" t="str">
        <f t="shared" ca="1" si="0"/>
        <v>George Washington University</v>
      </c>
      <c r="H611" s="5" t="str">
        <f t="shared" ca="1" si="1"/>
        <v>George Washington University</v>
      </c>
      <c r="I611" s="3" t="str">
        <f t="shared" ca="1" si="2"/>
        <v>'George Washington University',</v>
      </c>
    </row>
    <row r="612" spans="1:9">
      <c r="A612" s="1" t="s">
        <v>610</v>
      </c>
      <c r="B612" s="3" t="str">
        <f ca="1">IFERROR(__xludf.DUMMYFUNCTION("SPLIT(A612,"","")"),"US")</f>
        <v>US</v>
      </c>
      <c r="C612" s="3" t="str">
        <f ca="1">IFERROR(__xludf.DUMMYFUNCTION("""COMPUTED_VALUE"""),"George Wythe College")</f>
        <v>George Wythe College</v>
      </c>
      <c r="D612" s="4" t="str">
        <f ca="1">IFERROR(__xludf.DUMMYFUNCTION("""COMPUTED_VALUE"""),"http://www.gwc.edu/")</f>
        <v>http://www.gwc.edu/</v>
      </c>
      <c r="G612" s="2" t="str">
        <f t="shared" ca="1" si="0"/>
        <v>George Wythe College</v>
      </c>
      <c r="H612" s="5" t="str">
        <f t="shared" ca="1" si="1"/>
        <v>George Wythe College</v>
      </c>
      <c r="I612" s="3" t="str">
        <f t="shared" ca="1" si="2"/>
        <v>'George Wythe College',</v>
      </c>
    </row>
    <row r="613" spans="1:9">
      <c r="A613" s="1" t="s">
        <v>611</v>
      </c>
      <c r="B613" s="3" t="str">
        <f ca="1">IFERROR(__xludf.DUMMYFUNCTION("SPLIT(A613,"","")"),"US")</f>
        <v>US</v>
      </c>
      <c r="C613" s="3" t="str">
        <f ca="1">IFERROR(__xludf.DUMMYFUNCTION("""COMPUTED_VALUE"""),"Georgia Baptist College of Nursing")</f>
        <v>Georgia Baptist College of Nursing</v>
      </c>
      <c r="D613" s="4" t="str">
        <f ca="1">IFERROR(__xludf.DUMMYFUNCTION("""COMPUTED_VALUE"""),"http://www.gbcn.edu/")</f>
        <v>http://www.gbcn.edu/</v>
      </c>
      <c r="G613" s="2" t="str">
        <f t="shared" ca="1" si="0"/>
        <v>Georgia Baptist College of Nursing</v>
      </c>
      <c r="H613" s="5" t="str">
        <f t="shared" ca="1" si="1"/>
        <v>Georgia Baptist College of Nursing</v>
      </c>
      <c r="I613" s="3" t="str">
        <f t="shared" ca="1" si="2"/>
        <v>'Georgia Baptist College of Nursing',</v>
      </c>
    </row>
    <row r="614" spans="1:9">
      <c r="A614" s="1" t="s">
        <v>612</v>
      </c>
      <c r="B614" s="3" t="str">
        <f ca="1">IFERROR(__xludf.DUMMYFUNCTION("SPLIT(A614,"","")"),"US")</f>
        <v>US</v>
      </c>
      <c r="C614" s="3" t="str">
        <f ca="1">IFERROR(__xludf.DUMMYFUNCTION("""COMPUTED_VALUE"""),"Georgia College &amp; State University")</f>
        <v>Georgia College &amp; State University</v>
      </c>
      <c r="D614" s="4" t="str">
        <f ca="1">IFERROR(__xludf.DUMMYFUNCTION("""COMPUTED_VALUE"""),"http://www.gcsu.edu/")</f>
        <v>http://www.gcsu.edu/</v>
      </c>
      <c r="G614" s="2" t="str">
        <f t="shared" ca="1" si="0"/>
        <v>Georgia College &amp; State University</v>
      </c>
      <c r="H614" s="5" t="str">
        <f t="shared" ca="1" si="1"/>
        <v>Georgia College &amp; State University</v>
      </c>
      <c r="I614" s="3" t="str">
        <f t="shared" ca="1" si="2"/>
        <v>'Georgia College &amp; State University',</v>
      </c>
    </row>
    <row r="615" spans="1:9">
      <c r="A615" s="1" t="s">
        <v>613</v>
      </c>
      <c r="B615" s="3" t="str">
        <f ca="1">IFERROR(__xludf.DUMMYFUNCTION("SPLIT(A615,"","")"),"US")</f>
        <v>US</v>
      </c>
      <c r="C615" s="3" t="str">
        <f ca="1">IFERROR(__xludf.DUMMYFUNCTION("""COMPUTED_VALUE"""),"Georgia Health Sciences University")</f>
        <v>Georgia Health Sciences University</v>
      </c>
      <c r="D615" s="4" t="str">
        <f ca="1">IFERROR(__xludf.DUMMYFUNCTION("""COMPUTED_VALUE"""),"http://www.georgiahealth.edu/")</f>
        <v>http://www.georgiahealth.edu/</v>
      </c>
      <c r="G615" s="2" t="str">
        <f t="shared" ca="1" si="0"/>
        <v>Georgia Health Sciences University</v>
      </c>
      <c r="H615" s="5" t="str">
        <f t="shared" ca="1" si="1"/>
        <v>Georgia Health Sciences University</v>
      </c>
      <c r="I615" s="3" t="str">
        <f t="shared" ca="1" si="2"/>
        <v>'Georgia Health Sciences University',</v>
      </c>
    </row>
    <row r="616" spans="1:9">
      <c r="A616" s="1" t="s">
        <v>614</v>
      </c>
      <c r="B616" s="3" t="str">
        <f ca="1">IFERROR(__xludf.DUMMYFUNCTION("SPLIT(A616,"","")"),"US")</f>
        <v>US</v>
      </c>
      <c r="C616" s="3" t="str">
        <f ca="1">IFERROR(__xludf.DUMMYFUNCTION("""COMPUTED_VALUE"""),"Georgia Institute of Technology")</f>
        <v>Georgia Institute of Technology</v>
      </c>
      <c r="D616" s="4" t="str">
        <f ca="1">IFERROR(__xludf.DUMMYFUNCTION("""COMPUTED_VALUE"""),"http://www.gatech.edu/")</f>
        <v>http://www.gatech.edu/</v>
      </c>
      <c r="G616" s="2" t="str">
        <f t="shared" ca="1" si="0"/>
        <v>Georgia Institute of Technology</v>
      </c>
      <c r="H616" s="5" t="str">
        <f t="shared" ca="1" si="1"/>
        <v>Georgia Institute of Technology</v>
      </c>
      <c r="I616" s="3" t="str">
        <f t="shared" ca="1" si="2"/>
        <v>'Georgia Institute of Technology',</v>
      </c>
    </row>
    <row r="617" spans="1:9">
      <c r="A617" s="1" t="s">
        <v>615</v>
      </c>
      <c r="B617" s="3" t="str">
        <f ca="1">IFERROR(__xludf.DUMMYFUNCTION("SPLIT(A617,"","")"),"US")</f>
        <v>US</v>
      </c>
      <c r="C617" s="3" t="str">
        <f ca="1">IFERROR(__xludf.DUMMYFUNCTION("""COMPUTED_VALUE"""),"Georgian Court College")</f>
        <v>Georgian Court College</v>
      </c>
      <c r="D617" s="4" t="str">
        <f ca="1">IFERROR(__xludf.DUMMYFUNCTION("""COMPUTED_VALUE"""),"http://www.georgian.edu/")</f>
        <v>http://www.georgian.edu/</v>
      </c>
      <c r="G617" s="2" t="str">
        <f t="shared" ca="1" si="0"/>
        <v>Georgian Court College</v>
      </c>
      <c r="H617" s="5" t="str">
        <f t="shared" ca="1" si="1"/>
        <v>Georgian Court College</v>
      </c>
      <c r="I617" s="3" t="str">
        <f t="shared" ca="1" si="2"/>
        <v>'Georgian Court College',</v>
      </c>
    </row>
    <row r="618" spans="1:9">
      <c r="A618" s="1" t="s">
        <v>616</v>
      </c>
      <c r="B618" s="3" t="str">
        <f ca="1">IFERROR(__xludf.DUMMYFUNCTION("SPLIT(A618,"","")"),"US")</f>
        <v>US</v>
      </c>
      <c r="C618" s="3" t="str">
        <f ca="1">IFERROR(__xludf.DUMMYFUNCTION("""COMPUTED_VALUE"""),"Georgia School of Professional Psychology")</f>
        <v>Georgia School of Professional Psychology</v>
      </c>
      <c r="D618" s="4" t="str">
        <f ca="1">IFERROR(__xludf.DUMMYFUNCTION("""COMPUTED_VALUE"""),"http://www.aspp.edu/ga.html")</f>
        <v>http://www.aspp.edu/ga.html</v>
      </c>
      <c r="G618" s="2" t="str">
        <f t="shared" ca="1" si="0"/>
        <v>Georgia School of Professional Psychology</v>
      </c>
      <c r="H618" s="5" t="str">
        <f t="shared" ca="1" si="1"/>
        <v>Georgia School of Professional Psychology</v>
      </c>
      <c r="I618" s="3" t="str">
        <f t="shared" ca="1" si="2"/>
        <v>'Georgia School of Professional Psychology',</v>
      </c>
    </row>
    <row r="619" spans="1:9">
      <c r="A619" s="1" t="s">
        <v>617</v>
      </c>
      <c r="B619" s="3" t="str">
        <f ca="1">IFERROR(__xludf.DUMMYFUNCTION("SPLIT(A619,"","")"),"US")</f>
        <v>US</v>
      </c>
      <c r="C619" s="3" t="str">
        <f ca="1">IFERROR(__xludf.DUMMYFUNCTION("""COMPUTED_VALUE"""),"Georgia Southern University")</f>
        <v>Georgia Southern University</v>
      </c>
      <c r="D619" s="4" t="str">
        <f ca="1">IFERROR(__xludf.DUMMYFUNCTION("""COMPUTED_VALUE"""),"http://www.georgiasouthern.edu/")</f>
        <v>http://www.georgiasouthern.edu/</v>
      </c>
      <c r="G619" s="2" t="str">
        <f t="shared" ca="1" si="0"/>
        <v>Georgia Southern University</v>
      </c>
      <c r="H619" s="5" t="str">
        <f t="shared" ca="1" si="1"/>
        <v>Georgia Southern University</v>
      </c>
      <c r="I619" s="3" t="str">
        <f t="shared" ca="1" si="2"/>
        <v>'Georgia Southern University',</v>
      </c>
    </row>
    <row r="620" spans="1:9">
      <c r="A620" s="1" t="s">
        <v>618</v>
      </c>
      <c r="B620" s="3" t="str">
        <f ca="1">IFERROR(__xludf.DUMMYFUNCTION("SPLIT(A620,"","")"),"US")</f>
        <v>US</v>
      </c>
      <c r="C620" s="3" t="str">
        <f ca="1">IFERROR(__xludf.DUMMYFUNCTION("""COMPUTED_VALUE"""),"Georgia Southwestern University")</f>
        <v>Georgia Southwestern University</v>
      </c>
      <c r="D620" s="4" t="str">
        <f ca="1">IFERROR(__xludf.DUMMYFUNCTION("""COMPUTED_VALUE"""),"http://www.gsw.edu/")</f>
        <v>http://www.gsw.edu/</v>
      </c>
      <c r="G620" s="2" t="str">
        <f t="shared" ca="1" si="0"/>
        <v>Georgia Southwestern University</v>
      </c>
      <c r="H620" s="5" t="str">
        <f t="shared" ca="1" si="1"/>
        <v>Georgia Southwestern University</v>
      </c>
      <c r="I620" s="3" t="str">
        <f t="shared" ca="1" si="2"/>
        <v>'Georgia Southwestern University',</v>
      </c>
    </row>
    <row r="621" spans="1:9">
      <c r="A621" s="1" t="s">
        <v>619</v>
      </c>
      <c r="B621" s="3" t="str">
        <f ca="1">IFERROR(__xludf.DUMMYFUNCTION("SPLIT(A621,"","")"),"US")</f>
        <v>US</v>
      </c>
      <c r="C621" s="3" t="str">
        <f ca="1">IFERROR(__xludf.DUMMYFUNCTION("""COMPUTED_VALUE"""),"Georgia State University")</f>
        <v>Georgia State University</v>
      </c>
      <c r="D621" s="4" t="str">
        <f ca="1">IFERROR(__xludf.DUMMYFUNCTION("""COMPUTED_VALUE"""),"http://www.gsu.edu/")</f>
        <v>http://www.gsu.edu/</v>
      </c>
      <c r="G621" s="2" t="str">
        <f t="shared" ca="1" si="0"/>
        <v>Georgia State University</v>
      </c>
      <c r="H621" s="5" t="str">
        <f t="shared" ca="1" si="1"/>
        <v>Georgia State University</v>
      </c>
      <c r="I621" s="3" t="str">
        <f t="shared" ca="1" si="2"/>
        <v>'Georgia State University',</v>
      </c>
    </row>
    <row r="622" spans="1:9">
      <c r="A622" s="1" t="s">
        <v>620</v>
      </c>
      <c r="B622" s="3" t="str">
        <f ca="1">IFERROR(__xludf.DUMMYFUNCTION("SPLIT(A622,"","")"),"US")</f>
        <v>US</v>
      </c>
      <c r="C622" s="3" t="str">
        <f ca="1">IFERROR(__xludf.DUMMYFUNCTION("""COMPUTED_VALUE"""),"Gettysburg College")</f>
        <v>Gettysburg College</v>
      </c>
      <c r="D622" s="4" t="str">
        <f ca="1">IFERROR(__xludf.DUMMYFUNCTION("""COMPUTED_VALUE"""),"http://www.gettysburg.edu/")</f>
        <v>http://www.gettysburg.edu/</v>
      </c>
      <c r="G622" s="2" t="str">
        <f t="shared" ca="1" si="0"/>
        <v>Gettysburg College</v>
      </c>
      <c r="H622" s="5" t="str">
        <f t="shared" ca="1" si="1"/>
        <v>Gettysburg College</v>
      </c>
      <c r="I622" s="3" t="str">
        <f t="shared" ca="1" si="2"/>
        <v>'Gettysburg College',</v>
      </c>
    </row>
    <row r="623" spans="1:9">
      <c r="A623" s="1" t="s">
        <v>621</v>
      </c>
      <c r="B623" s="3" t="str">
        <f ca="1">IFERROR(__xludf.DUMMYFUNCTION("SPLIT(A623,"","")"),"US")</f>
        <v>US</v>
      </c>
      <c r="C623" s="3" t="str">
        <f ca="1">IFERROR(__xludf.DUMMYFUNCTION("""COMPUTED_VALUE"""),"Glendale University College of Law")</f>
        <v>Glendale University College of Law</v>
      </c>
      <c r="D623" s="4" t="str">
        <f ca="1">IFERROR(__xludf.DUMMYFUNCTION("""COMPUTED_VALUE"""),"http://www.glendalelaw.edu/")</f>
        <v>http://www.glendalelaw.edu/</v>
      </c>
      <c r="G623" s="2" t="str">
        <f t="shared" ca="1" si="0"/>
        <v>Glendale University College of Law</v>
      </c>
      <c r="H623" s="5" t="str">
        <f t="shared" ca="1" si="1"/>
        <v>Glendale University College of Law</v>
      </c>
      <c r="I623" s="3" t="str">
        <f t="shared" ca="1" si="2"/>
        <v>'Glendale University College of Law',</v>
      </c>
    </row>
    <row r="624" spans="1:9">
      <c r="A624" s="1" t="s">
        <v>622</v>
      </c>
      <c r="B624" s="3" t="str">
        <f ca="1">IFERROR(__xludf.DUMMYFUNCTION("SPLIT(A624,"","")"),"US")</f>
        <v>US</v>
      </c>
      <c r="C624" s="3" t="str">
        <f ca="1">IFERROR(__xludf.DUMMYFUNCTION("""COMPUTED_VALUE"""),"Glenville State College")</f>
        <v>Glenville State College</v>
      </c>
      <c r="D624" s="4" t="str">
        <f ca="1">IFERROR(__xludf.DUMMYFUNCTION("""COMPUTED_VALUE"""),"http://www.glenville.wvnet.edu/")</f>
        <v>http://www.glenville.wvnet.edu/</v>
      </c>
      <c r="G624" s="2" t="str">
        <f t="shared" ca="1" si="0"/>
        <v>Glenville State College</v>
      </c>
      <c r="H624" s="5" t="str">
        <f t="shared" ca="1" si="1"/>
        <v>Glenville State College</v>
      </c>
      <c r="I624" s="3" t="str">
        <f t="shared" ca="1" si="2"/>
        <v>'Glenville State College',</v>
      </c>
    </row>
    <row r="625" spans="1:9">
      <c r="A625" s="1" t="s">
        <v>623</v>
      </c>
      <c r="B625" s="3" t="str">
        <f ca="1">IFERROR(__xludf.DUMMYFUNCTION("SPLIT(A625,"","")"),"US")</f>
        <v>US</v>
      </c>
      <c r="C625" s="3" t="str">
        <f ca="1">IFERROR(__xludf.DUMMYFUNCTION("""COMPUTED_VALUE"""),"Goddard College")</f>
        <v>Goddard College</v>
      </c>
      <c r="D625" s="4" t="str">
        <f ca="1">IFERROR(__xludf.DUMMYFUNCTION("""COMPUTED_VALUE"""),"http://www.goddard.edu/")</f>
        <v>http://www.goddard.edu/</v>
      </c>
      <c r="G625" s="2" t="str">
        <f t="shared" ca="1" si="0"/>
        <v>Goddard College</v>
      </c>
      <c r="H625" s="5" t="str">
        <f t="shared" ca="1" si="1"/>
        <v>Goddard College</v>
      </c>
      <c r="I625" s="3" t="str">
        <f t="shared" ca="1" si="2"/>
        <v>'Goddard College',</v>
      </c>
    </row>
    <row r="626" spans="1:9">
      <c r="A626" s="1" t="s">
        <v>624</v>
      </c>
      <c r="B626" s="3" t="str">
        <f ca="1">IFERROR(__xludf.DUMMYFUNCTION("SPLIT(A626,"","")"),"US")</f>
        <v>US</v>
      </c>
      <c r="C626" s="3" t="str">
        <f ca="1">IFERROR(__xludf.DUMMYFUNCTION("""COMPUTED_VALUE"""),"God's Bible School and College")</f>
        <v>God's Bible School and College</v>
      </c>
      <c r="D626" s="4" t="str">
        <f ca="1">IFERROR(__xludf.DUMMYFUNCTION("""COMPUTED_VALUE"""),"http://www.gbs.edu/")</f>
        <v>http://www.gbs.edu/</v>
      </c>
      <c r="G626" s="2" t="str">
        <f t="shared" ca="1" si="0"/>
        <v>God's Bible School and College</v>
      </c>
      <c r="H626" s="5" t="str">
        <f t="shared" ca="1" si="1"/>
        <v>God's Bible School and College</v>
      </c>
      <c r="I626" s="3" t="str">
        <f t="shared" ca="1" si="2"/>
        <v>'God's Bible School and College',</v>
      </c>
    </row>
    <row r="627" spans="1:9">
      <c r="A627" s="1" t="s">
        <v>625</v>
      </c>
      <c r="B627" s="3" t="str">
        <f ca="1">IFERROR(__xludf.DUMMYFUNCTION("SPLIT(A627,"","")"),"US")</f>
        <v>US</v>
      </c>
      <c r="C627" s="3" t="str">
        <f ca="1">IFERROR(__xludf.DUMMYFUNCTION("""COMPUTED_VALUE"""),"Golden Gate University")</f>
        <v>Golden Gate University</v>
      </c>
      <c r="D627" s="4" t="str">
        <f ca="1">IFERROR(__xludf.DUMMYFUNCTION("""COMPUTED_VALUE"""),"http://www.ggu.edu/")</f>
        <v>http://www.ggu.edu/</v>
      </c>
      <c r="G627" s="2" t="str">
        <f t="shared" ca="1" si="0"/>
        <v>Golden Gate University</v>
      </c>
      <c r="H627" s="5" t="str">
        <f t="shared" ca="1" si="1"/>
        <v>Golden Gate University</v>
      </c>
      <c r="I627" s="3" t="str">
        <f t="shared" ca="1" si="2"/>
        <v>'Golden Gate University',</v>
      </c>
    </row>
    <row r="628" spans="1:9">
      <c r="A628" s="1" t="s">
        <v>626</v>
      </c>
      <c r="B628" s="3" t="str">
        <f ca="1">IFERROR(__xludf.DUMMYFUNCTION("SPLIT(A628,"","")"),"US")</f>
        <v>US</v>
      </c>
      <c r="C628" s="3" t="str">
        <f ca="1">IFERROR(__xludf.DUMMYFUNCTION("""COMPUTED_VALUE"""),"Goldey-Beacom College")</f>
        <v>Goldey-Beacom College</v>
      </c>
      <c r="D628" s="4" t="str">
        <f ca="1">IFERROR(__xludf.DUMMYFUNCTION("""COMPUTED_VALUE"""),"http://goldey.gbc.edu/")</f>
        <v>http://goldey.gbc.edu/</v>
      </c>
      <c r="G628" s="2" t="str">
        <f t="shared" ca="1" si="0"/>
        <v>Goldey-Beacom College</v>
      </c>
      <c r="H628" s="5" t="str">
        <f t="shared" ca="1" si="1"/>
        <v>Goldey-Beacom College</v>
      </c>
      <c r="I628" s="3" t="str">
        <f t="shared" ca="1" si="2"/>
        <v>'Goldey-Beacom College',</v>
      </c>
    </row>
    <row r="629" spans="1:9">
      <c r="A629" s="1" t="s">
        <v>627</v>
      </c>
      <c r="B629" s="3" t="str">
        <f ca="1">IFERROR(__xludf.DUMMYFUNCTION("SPLIT(A629,"","")"),"US")</f>
        <v>US</v>
      </c>
      <c r="C629" s="3" t="str">
        <f ca="1">IFERROR(__xludf.DUMMYFUNCTION("""COMPUTED_VALUE"""),"Gonzaga University")</f>
        <v>Gonzaga University</v>
      </c>
      <c r="D629" s="4" t="str">
        <f ca="1">IFERROR(__xludf.DUMMYFUNCTION("""COMPUTED_VALUE"""),"http://www.gonzaga.edu/")</f>
        <v>http://www.gonzaga.edu/</v>
      </c>
      <c r="G629" s="2" t="str">
        <f t="shared" ca="1" si="0"/>
        <v>Gonzaga University</v>
      </c>
      <c r="H629" s="5" t="str">
        <f t="shared" ca="1" si="1"/>
        <v>Gonzaga University</v>
      </c>
      <c r="I629" s="3" t="str">
        <f t="shared" ca="1" si="2"/>
        <v>'Gonzaga University',</v>
      </c>
    </row>
    <row r="630" spans="1:9">
      <c r="A630" s="1" t="s">
        <v>628</v>
      </c>
      <c r="B630" s="3" t="str">
        <f ca="1">IFERROR(__xludf.DUMMYFUNCTION("SPLIT(A630,"","")"),"US")</f>
        <v>US</v>
      </c>
      <c r="C630" s="3" t="str">
        <f ca="1">IFERROR(__xludf.DUMMYFUNCTION("""COMPUTED_VALUE"""),"Gordon College")</f>
        <v>Gordon College</v>
      </c>
      <c r="D630" s="4" t="str">
        <f ca="1">IFERROR(__xludf.DUMMYFUNCTION("""COMPUTED_VALUE"""),"http://www.gordon.edu/")</f>
        <v>http://www.gordon.edu/</v>
      </c>
      <c r="G630" s="2" t="str">
        <f t="shared" ca="1" si="0"/>
        <v>Gordon College</v>
      </c>
      <c r="H630" s="5" t="str">
        <f t="shared" ca="1" si="1"/>
        <v>Gordon College</v>
      </c>
      <c r="I630" s="3" t="str">
        <f t="shared" ca="1" si="2"/>
        <v>'Gordon College',</v>
      </c>
    </row>
    <row r="631" spans="1:9">
      <c r="A631" s="1" t="s">
        <v>629</v>
      </c>
      <c r="B631" s="3" t="str">
        <f ca="1">IFERROR(__xludf.DUMMYFUNCTION("SPLIT(A631,"","")"),"US")</f>
        <v>US</v>
      </c>
      <c r="C631" s="3" t="str">
        <f ca="1">IFERROR(__xludf.DUMMYFUNCTION("""COMPUTED_VALUE"""),"Gordon Conwell Theological Seminary")</f>
        <v>Gordon Conwell Theological Seminary</v>
      </c>
      <c r="D631" s="4" t="str">
        <f ca="1">IFERROR(__xludf.DUMMYFUNCTION("""COMPUTED_VALUE"""),"http://www.gcts.edu/")</f>
        <v>http://www.gcts.edu/</v>
      </c>
      <c r="G631" s="2" t="str">
        <f t="shared" ca="1" si="0"/>
        <v>Gordon Conwell Theological Seminary</v>
      </c>
      <c r="H631" s="5" t="str">
        <f t="shared" ca="1" si="1"/>
        <v>Gordon Conwell Theological Seminary</v>
      </c>
      <c r="I631" s="3" t="str">
        <f t="shared" ca="1" si="2"/>
        <v>'Gordon Conwell Theological Seminary',</v>
      </c>
    </row>
    <row r="632" spans="1:9">
      <c r="A632" s="1" t="s">
        <v>630</v>
      </c>
      <c r="B632" s="3" t="str">
        <f ca="1">IFERROR(__xludf.DUMMYFUNCTION("SPLIT(A632,"","")"),"US")</f>
        <v>US</v>
      </c>
      <c r="C632" s="3" t="str">
        <f ca="1">IFERROR(__xludf.DUMMYFUNCTION("""COMPUTED_VALUE"""),"Goshen College")</f>
        <v>Goshen College</v>
      </c>
      <c r="D632" s="4" t="str">
        <f ca="1">IFERROR(__xludf.DUMMYFUNCTION("""COMPUTED_VALUE"""),"http://www.goshen.edu/")</f>
        <v>http://www.goshen.edu/</v>
      </c>
      <c r="G632" s="2" t="str">
        <f t="shared" ca="1" si="0"/>
        <v>Goshen College</v>
      </c>
      <c r="H632" s="5" t="str">
        <f t="shared" ca="1" si="1"/>
        <v>Goshen College</v>
      </c>
      <c r="I632" s="3" t="str">
        <f t="shared" ca="1" si="2"/>
        <v>'Goshen College',</v>
      </c>
    </row>
    <row r="633" spans="1:9">
      <c r="A633" s="1" t="s">
        <v>631</v>
      </c>
      <c r="B633" s="3" t="str">
        <f ca="1">IFERROR(__xludf.DUMMYFUNCTION("SPLIT(A633,"","")"),"US")</f>
        <v>US</v>
      </c>
      <c r="C633" s="3" t="str">
        <f ca="1">IFERROR(__xludf.DUMMYFUNCTION("""COMPUTED_VALUE"""),"Goucher College")</f>
        <v>Goucher College</v>
      </c>
      <c r="D633" s="4" t="str">
        <f ca="1">IFERROR(__xludf.DUMMYFUNCTION("""COMPUTED_VALUE"""),"http://www.goucher.edu/")</f>
        <v>http://www.goucher.edu/</v>
      </c>
      <c r="G633" s="2" t="str">
        <f t="shared" ca="1" si="0"/>
        <v>Goucher College</v>
      </c>
      <c r="H633" s="5" t="str">
        <f t="shared" ca="1" si="1"/>
        <v>Goucher College</v>
      </c>
      <c r="I633" s="3" t="str">
        <f t="shared" ca="1" si="2"/>
        <v>'Goucher College',</v>
      </c>
    </row>
    <row r="634" spans="1:9">
      <c r="A634" s="1" t="s">
        <v>632</v>
      </c>
      <c r="B634" s="3" t="str">
        <f ca="1">IFERROR(__xludf.DUMMYFUNCTION("SPLIT(A634,"","")"),"US")</f>
        <v>US</v>
      </c>
      <c r="C634" s="3" t="str">
        <f ca="1">IFERROR(__xludf.DUMMYFUNCTION("""COMPUTED_VALUE"""),"Governors State University")</f>
        <v>Governors State University</v>
      </c>
      <c r="D634" s="4" t="str">
        <f ca="1">IFERROR(__xludf.DUMMYFUNCTION("""COMPUTED_VALUE"""),"http://www.govst.edu/")</f>
        <v>http://www.govst.edu/</v>
      </c>
      <c r="G634" s="2" t="str">
        <f t="shared" ca="1" si="0"/>
        <v>Governors State University</v>
      </c>
      <c r="H634" s="5" t="str">
        <f t="shared" ca="1" si="1"/>
        <v>Governors State University</v>
      </c>
      <c r="I634" s="3" t="str">
        <f t="shared" ca="1" si="2"/>
        <v>'Governors State University',</v>
      </c>
    </row>
    <row r="635" spans="1:9">
      <c r="A635" s="1" t="s">
        <v>633</v>
      </c>
      <c r="B635" s="3" t="str">
        <f ca="1">IFERROR(__xludf.DUMMYFUNCTION("SPLIT(A635,"","")"),"US")</f>
        <v>US</v>
      </c>
      <c r="C635" s="3" t="str">
        <f ca="1">IFERROR(__xludf.DUMMYFUNCTION("""COMPUTED_VALUE"""),"Grace Bible College")</f>
        <v>Grace Bible College</v>
      </c>
      <c r="D635" s="4" t="str">
        <f ca="1">IFERROR(__xludf.DUMMYFUNCTION("""COMPUTED_VALUE"""),"http://www.gbcol.edu/")</f>
        <v>http://www.gbcol.edu/</v>
      </c>
      <c r="G635" s="2" t="str">
        <f t="shared" ca="1" si="0"/>
        <v>Grace Bible College</v>
      </c>
      <c r="H635" s="5" t="str">
        <f t="shared" ca="1" si="1"/>
        <v>Grace Bible College</v>
      </c>
      <c r="I635" s="3" t="str">
        <f t="shared" ca="1" si="2"/>
        <v>'Grace Bible College',</v>
      </c>
    </row>
    <row r="636" spans="1:9">
      <c r="A636" s="1" t="s">
        <v>634</v>
      </c>
      <c r="B636" s="3" t="str">
        <f ca="1">IFERROR(__xludf.DUMMYFUNCTION("SPLIT(A636,"","")"),"US")</f>
        <v>US</v>
      </c>
      <c r="C636" s="3" t="str">
        <f ca="1">IFERROR(__xludf.DUMMYFUNCTION("""COMPUTED_VALUE"""),"Grace College")</f>
        <v>Grace College</v>
      </c>
      <c r="D636" s="4" t="str">
        <f ca="1">IFERROR(__xludf.DUMMYFUNCTION("""COMPUTED_VALUE"""),"http://www.grace.edu/")</f>
        <v>http://www.grace.edu/</v>
      </c>
      <c r="G636" s="2" t="str">
        <f t="shared" ca="1" si="0"/>
        <v>Grace College</v>
      </c>
      <c r="H636" s="5" t="str">
        <f t="shared" ca="1" si="1"/>
        <v>Grace College</v>
      </c>
      <c r="I636" s="3" t="str">
        <f t="shared" ca="1" si="2"/>
        <v>'Grace College',</v>
      </c>
    </row>
    <row r="637" spans="1:9">
      <c r="A637" s="1" t="s">
        <v>635</v>
      </c>
      <c r="B637" s="3" t="str">
        <f ca="1">IFERROR(__xludf.DUMMYFUNCTION("SPLIT(A637,"","")"),"US")</f>
        <v>US</v>
      </c>
      <c r="C637" s="3" t="str">
        <f ca="1">IFERROR(__xludf.DUMMYFUNCTION("""COMPUTED_VALUE"""),"Graceland College")</f>
        <v>Graceland College</v>
      </c>
      <c r="D637" s="4" t="str">
        <f ca="1">IFERROR(__xludf.DUMMYFUNCTION("""COMPUTED_VALUE"""),"http://www.graceland.edu/")</f>
        <v>http://www.graceland.edu/</v>
      </c>
      <c r="G637" s="2" t="str">
        <f t="shared" ca="1" si="0"/>
        <v>Graceland College</v>
      </c>
      <c r="H637" s="5" t="str">
        <f t="shared" ca="1" si="1"/>
        <v>Graceland College</v>
      </c>
      <c r="I637" s="3" t="str">
        <f t="shared" ca="1" si="2"/>
        <v>'Graceland College',</v>
      </c>
    </row>
    <row r="638" spans="1:9">
      <c r="A638" s="1" t="s">
        <v>636</v>
      </c>
      <c r="B638" s="3" t="str">
        <f ca="1">IFERROR(__xludf.DUMMYFUNCTION("SPLIT(A638,"","")"),"US")</f>
        <v>US</v>
      </c>
      <c r="C638" s="3" t="str">
        <f ca="1">IFERROR(__xludf.DUMMYFUNCTION("""COMPUTED_VALUE"""),"Grace University")</f>
        <v>Grace University</v>
      </c>
      <c r="D638" s="4" t="str">
        <f ca="1">IFERROR(__xludf.DUMMYFUNCTION("""COMPUTED_VALUE"""),"http://www.graceu.edu/")</f>
        <v>http://www.graceu.edu/</v>
      </c>
      <c r="G638" s="2" t="str">
        <f t="shared" ca="1" si="0"/>
        <v>Grace University</v>
      </c>
      <c r="H638" s="5" t="str">
        <f t="shared" ca="1" si="1"/>
        <v>Grace University</v>
      </c>
      <c r="I638" s="3" t="str">
        <f t="shared" ca="1" si="2"/>
        <v>'Grace University',</v>
      </c>
    </row>
    <row r="639" spans="1:9">
      <c r="A639" s="1" t="s">
        <v>637</v>
      </c>
      <c r="B639" s="3" t="str">
        <f ca="1">IFERROR(__xludf.DUMMYFUNCTION("SPLIT(A639,"","")"),"US")</f>
        <v>US</v>
      </c>
      <c r="C639" s="3" t="str">
        <f ca="1">IFERROR(__xludf.DUMMYFUNCTION("""COMPUTED_VALUE"""),"Graduate Theological Union")</f>
        <v>Graduate Theological Union</v>
      </c>
      <c r="D639" s="4" t="str">
        <f ca="1">IFERROR(__xludf.DUMMYFUNCTION("""COMPUTED_VALUE"""),"http://www.gtu.edu/")</f>
        <v>http://www.gtu.edu/</v>
      </c>
      <c r="G639" s="2" t="str">
        <f t="shared" ca="1" si="0"/>
        <v>Graduate Theological Union</v>
      </c>
      <c r="H639" s="5" t="str">
        <f t="shared" ca="1" si="1"/>
        <v>Graduate Theological Union</v>
      </c>
      <c r="I639" s="3" t="str">
        <f t="shared" ca="1" si="2"/>
        <v>'Graduate Theological Union',</v>
      </c>
    </row>
    <row r="640" spans="1:9">
      <c r="A640" s="1" t="s">
        <v>638</v>
      </c>
      <c r="B640" s="3" t="str">
        <f ca="1">IFERROR(__xludf.DUMMYFUNCTION("SPLIT(A640,"","")"),"US")</f>
        <v>US</v>
      </c>
      <c r="C640" s="3" t="str">
        <f ca="1">IFERROR(__xludf.DUMMYFUNCTION("""COMPUTED_VALUE"""),"Grambling State University")</f>
        <v>Grambling State University</v>
      </c>
      <c r="D640" s="4" t="str">
        <f ca="1">IFERROR(__xludf.DUMMYFUNCTION("""COMPUTED_VALUE"""),"http://www.gram.edu/")</f>
        <v>http://www.gram.edu/</v>
      </c>
      <c r="G640" s="2" t="str">
        <f t="shared" ca="1" si="0"/>
        <v>Grambling State University</v>
      </c>
      <c r="H640" s="5" t="str">
        <f t="shared" ca="1" si="1"/>
        <v>Grambling State University</v>
      </c>
      <c r="I640" s="3" t="str">
        <f t="shared" ca="1" si="2"/>
        <v>'Grambling State University',</v>
      </c>
    </row>
    <row r="641" spans="1:9">
      <c r="A641" s="1" t="s">
        <v>639</v>
      </c>
      <c r="B641" s="3" t="str">
        <f ca="1">IFERROR(__xludf.DUMMYFUNCTION("SPLIT(A641,"","")"),"US")</f>
        <v>US</v>
      </c>
      <c r="C641" s="3" t="str">
        <f ca="1">IFERROR(__xludf.DUMMYFUNCTION("""COMPUTED_VALUE"""),"Grand Canyon University")</f>
        <v>Grand Canyon University</v>
      </c>
      <c r="D641" s="4" t="str">
        <f ca="1">IFERROR(__xludf.DUMMYFUNCTION("""COMPUTED_VALUE"""),"http://www.gcu.edu/")</f>
        <v>http://www.gcu.edu/</v>
      </c>
      <c r="G641" s="2" t="str">
        <f t="shared" ca="1" si="0"/>
        <v>Grand Canyon University</v>
      </c>
      <c r="H641" s="5" t="str">
        <f t="shared" ca="1" si="1"/>
        <v>Grand Canyon University</v>
      </c>
      <c r="I641" s="3" t="str">
        <f t="shared" ca="1" si="2"/>
        <v>'Grand Canyon University',</v>
      </c>
    </row>
    <row r="642" spans="1:9">
      <c r="A642" s="1" t="s">
        <v>640</v>
      </c>
      <c r="B642" s="3" t="str">
        <f ca="1">IFERROR(__xludf.DUMMYFUNCTION("SPLIT(A642,"","")"),"US")</f>
        <v>US</v>
      </c>
      <c r="C642" s="3" t="str">
        <f ca="1">IFERROR(__xludf.DUMMYFUNCTION("""COMPUTED_VALUE"""),"Grand Valley State University")</f>
        <v>Grand Valley State University</v>
      </c>
      <c r="D642" s="4" t="str">
        <f ca="1">IFERROR(__xludf.DUMMYFUNCTION("""COMPUTED_VALUE"""),"http://www.gvsu.edu/")</f>
        <v>http://www.gvsu.edu/</v>
      </c>
      <c r="G642" s="2" t="str">
        <f t="shared" ca="1" si="0"/>
        <v>Grand Valley State University</v>
      </c>
      <c r="H642" s="5" t="str">
        <f t="shared" ca="1" si="1"/>
        <v>Grand Valley State University</v>
      </c>
      <c r="I642" s="3" t="str">
        <f t="shared" ca="1" si="2"/>
        <v>'Grand Valley State University',</v>
      </c>
    </row>
    <row r="643" spans="1:9">
      <c r="A643" s="1" t="s">
        <v>641</v>
      </c>
      <c r="B643" s="3" t="str">
        <f ca="1">IFERROR(__xludf.DUMMYFUNCTION("SPLIT(A643,"","")"),"US")</f>
        <v>US</v>
      </c>
      <c r="C643" s="3" t="str">
        <f ca="1">IFERROR(__xludf.DUMMYFUNCTION("""COMPUTED_VALUE"""),"Grand View College")</f>
        <v>Grand View College</v>
      </c>
      <c r="D643" s="4" t="str">
        <f ca="1">IFERROR(__xludf.DUMMYFUNCTION("""COMPUTED_VALUE"""),"http://www.gvc.edu/")</f>
        <v>http://www.gvc.edu/</v>
      </c>
      <c r="G643" s="2" t="str">
        <f t="shared" ca="1" si="0"/>
        <v>Grand View College</v>
      </c>
      <c r="H643" s="5" t="str">
        <f t="shared" ca="1" si="1"/>
        <v>Grand View College</v>
      </c>
      <c r="I643" s="3" t="str">
        <f t="shared" ca="1" si="2"/>
        <v>'Grand View College',</v>
      </c>
    </row>
    <row r="644" spans="1:9">
      <c r="A644" s="1" t="s">
        <v>642</v>
      </c>
      <c r="B644" s="3" t="str">
        <f ca="1">IFERROR(__xludf.DUMMYFUNCTION("SPLIT(A644,"","")"),"US")</f>
        <v>US</v>
      </c>
      <c r="C644" s="3" t="str">
        <f ca="1">IFERROR(__xludf.DUMMYFUNCTION("""COMPUTED_VALUE"""),"Grantham University")</f>
        <v>Grantham University</v>
      </c>
      <c r="D644" s="4" t="str">
        <f ca="1">IFERROR(__xludf.DUMMYFUNCTION("""COMPUTED_VALUE"""),"http://www.grantham.edu/")</f>
        <v>http://www.grantham.edu/</v>
      </c>
      <c r="G644" s="2" t="str">
        <f t="shared" ca="1" si="0"/>
        <v>Grantham University</v>
      </c>
      <c r="H644" s="5" t="str">
        <f t="shared" ca="1" si="1"/>
        <v>Grantham University</v>
      </c>
      <c r="I644" s="3" t="str">
        <f t="shared" ca="1" si="2"/>
        <v>'Grantham University',</v>
      </c>
    </row>
    <row r="645" spans="1:9">
      <c r="A645" s="1" t="s">
        <v>643</v>
      </c>
      <c r="B645" s="3" t="str">
        <f ca="1">IFERROR(__xludf.DUMMYFUNCTION("SPLIT(A645,"","")"),"US")</f>
        <v>US</v>
      </c>
      <c r="C645" s="3" t="str">
        <f ca="1">IFERROR(__xludf.DUMMYFUNCTION("""COMPUTED_VALUE"""),"Gratz College")</f>
        <v>Gratz College</v>
      </c>
      <c r="D645" s="4" t="str">
        <f ca="1">IFERROR(__xludf.DUMMYFUNCTION("""COMPUTED_VALUE"""),"http://www.gratzcollege.edu/")</f>
        <v>http://www.gratzcollege.edu/</v>
      </c>
      <c r="G645" s="2" t="str">
        <f t="shared" ca="1" si="0"/>
        <v>Gratz College</v>
      </c>
      <c r="H645" s="5" t="str">
        <f t="shared" ca="1" si="1"/>
        <v>Gratz College</v>
      </c>
      <c r="I645" s="3" t="str">
        <f t="shared" ca="1" si="2"/>
        <v>'Gratz College',</v>
      </c>
    </row>
    <row r="646" spans="1:9">
      <c r="A646" s="1" t="s">
        <v>644</v>
      </c>
      <c r="B646" s="3" t="str">
        <f ca="1">IFERROR(__xludf.DUMMYFUNCTION("SPLIT(A646,"","")"),"US")</f>
        <v>US</v>
      </c>
      <c r="C646" s="3" t="str">
        <f ca="1">IFERROR(__xludf.DUMMYFUNCTION("""COMPUTED_VALUE"""),"Great Lakes Christian College")</f>
        <v>Great Lakes Christian College</v>
      </c>
      <c r="D646" s="4" t="str">
        <f ca="1">IFERROR(__xludf.DUMMYFUNCTION("""COMPUTED_VALUE"""),"http://www.glcc.edu/")</f>
        <v>http://www.glcc.edu/</v>
      </c>
      <c r="G646" s="2" t="str">
        <f t="shared" ca="1" si="0"/>
        <v>Great Lakes Christian College</v>
      </c>
      <c r="H646" s="5" t="str">
        <f t="shared" ca="1" si="1"/>
        <v>Great Lakes Christian College</v>
      </c>
      <c r="I646" s="3" t="str">
        <f t="shared" ca="1" si="2"/>
        <v>'Great Lakes Christian College',</v>
      </c>
    </row>
    <row r="647" spans="1:9">
      <c r="A647" s="1" t="s">
        <v>645</v>
      </c>
      <c r="B647" s="3" t="str">
        <f ca="1">IFERROR(__xludf.DUMMYFUNCTION("SPLIT(A647,"","")"),"US")</f>
        <v>US</v>
      </c>
      <c r="C647" s="3" t="str">
        <f ca="1">IFERROR(__xludf.DUMMYFUNCTION("""COMPUTED_VALUE"""),"Green Mountain College")</f>
        <v>Green Mountain College</v>
      </c>
      <c r="D647" s="4" t="str">
        <f ca="1">IFERROR(__xludf.DUMMYFUNCTION("""COMPUTED_VALUE"""),"http://www.greenmtn.edu/")</f>
        <v>http://www.greenmtn.edu/</v>
      </c>
      <c r="G647" s="2" t="str">
        <f t="shared" ca="1" si="0"/>
        <v>Green Mountain College</v>
      </c>
      <c r="H647" s="5" t="str">
        <f t="shared" ca="1" si="1"/>
        <v>Green Mountain College</v>
      </c>
      <c r="I647" s="3" t="str">
        <f t="shared" ca="1" si="2"/>
        <v>'Green Mountain College',</v>
      </c>
    </row>
    <row r="648" spans="1:9">
      <c r="A648" s="1" t="s">
        <v>646</v>
      </c>
      <c r="B648" s="3" t="str">
        <f ca="1">IFERROR(__xludf.DUMMYFUNCTION("SPLIT(A648,"","")"),"US")</f>
        <v>US</v>
      </c>
      <c r="C648" s="3" t="str">
        <f ca="1">IFERROR(__xludf.DUMMYFUNCTION("""COMPUTED_VALUE"""),"Greensboro College")</f>
        <v>Greensboro College</v>
      </c>
      <c r="D648" s="4" t="str">
        <f ca="1">IFERROR(__xludf.DUMMYFUNCTION("""COMPUTED_VALUE"""),"http://www.gborocollege.edu/")</f>
        <v>http://www.gborocollege.edu/</v>
      </c>
      <c r="G648" s="2" t="str">
        <f t="shared" ca="1" si="0"/>
        <v>Greensboro College</v>
      </c>
      <c r="H648" s="5" t="str">
        <f t="shared" ca="1" si="1"/>
        <v>Greensboro College</v>
      </c>
      <c r="I648" s="3" t="str">
        <f t="shared" ca="1" si="2"/>
        <v>'Greensboro College',</v>
      </c>
    </row>
    <row r="649" spans="1:9">
      <c r="A649" s="1" t="s">
        <v>647</v>
      </c>
      <c r="B649" s="3" t="str">
        <f ca="1">IFERROR(__xludf.DUMMYFUNCTION("SPLIT(A649,"","")"),"US")</f>
        <v>US</v>
      </c>
      <c r="C649" s="3" t="str">
        <f ca="1">IFERROR(__xludf.DUMMYFUNCTION("""COMPUTED_VALUE"""),"Greenville College")</f>
        <v>Greenville College</v>
      </c>
      <c r="D649" s="4" t="str">
        <f ca="1">IFERROR(__xludf.DUMMYFUNCTION("""COMPUTED_VALUE"""),"http://www.greenville.edu/")</f>
        <v>http://www.greenville.edu/</v>
      </c>
      <c r="G649" s="2" t="str">
        <f t="shared" ca="1" si="0"/>
        <v>Greenville College</v>
      </c>
      <c r="H649" s="5" t="str">
        <f t="shared" ca="1" si="1"/>
        <v>Greenville College</v>
      </c>
      <c r="I649" s="3" t="str">
        <f t="shared" ca="1" si="2"/>
        <v>'Greenville College',</v>
      </c>
    </row>
    <row r="650" spans="1:9">
      <c r="A650" s="1" t="s">
        <v>648</v>
      </c>
      <c r="B650" s="3" t="str">
        <f ca="1">IFERROR(__xludf.DUMMYFUNCTION("SPLIT(A650,"","")"),"US")</f>
        <v>US</v>
      </c>
      <c r="C650" s="3" t="str">
        <f ca="1">IFERROR(__xludf.DUMMYFUNCTION("""COMPUTED_VALUE"""),"Grinnell College")</f>
        <v>Grinnell College</v>
      </c>
      <c r="D650" s="4" t="str">
        <f ca="1">IFERROR(__xludf.DUMMYFUNCTION("""COMPUTED_VALUE"""),"http://www.grinnell.edu/")</f>
        <v>http://www.grinnell.edu/</v>
      </c>
      <c r="G650" s="2" t="str">
        <f t="shared" ca="1" si="0"/>
        <v>Grinnell College</v>
      </c>
      <c r="H650" s="5" t="str">
        <f t="shared" ca="1" si="1"/>
        <v>Grinnell College</v>
      </c>
      <c r="I650" s="3" t="str">
        <f t="shared" ca="1" si="2"/>
        <v>'Grinnell College',</v>
      </c>
    </row>
    <row r="651" spans="1:9">
      <c r="A651" s="1" t="s">
        <v>649</v>
      </c>
      <c r="B651" s="3" t="str">
        <f ca="1">IFERROR(__xludf.DUMMYFUNCTION("SPLIT(A651,"","")"),"US")</f>
        <v>US</v>
      </c>
      <c r="C651" s="3" t="str">
        <f ca="1">IFERROR(__xludf.DUMMYFUNCTION("""COMPUTED_VALUE"""),"Grove City College")</f>
        <v>Grove City College</v>
      </c>
      <c r="D651" s="4" t="str">
        <f ca="1">IFERROR(__xludf.DUMMYFUNCTION("""COMPUTED_VALUE"""),"http://www.gcc.edu/")</f>
        <v>http://www.gcc.edu/</v>
      </c>
      <c r="G651" s="2" t="str">
        <f t="shared" ca="1" si="0"/>
        <v>Grove City College</v>
      </c>
      <c r="H651" s="5" t="str">
        <f t="shared" ca="1" si="1"/>
        <v>Grove City College</v>
      </c>
      <c r="I651" s="3" t="str">
        <f t="shared" ca="1" si="2"/>
        <v>'Grove City College',</v>
      </c>
    </row>
    <row r="652" spans="1:9">
      <c r="A652" s="1" t="s">
        <v>650</v>
      </c>
      <c r="B652" s="3" t="str">
        <f ca="1">IFERROR(__xludf.DUMMYFUNCTION("SPLIT(A652,"","")"),"US")</f>
        <v>US</v>
      </c>
      <c r="C652" s="3" t="str">
        <f ca="1">IFERROR(__xludf.DUMMYFUNCTION("""COMPUTED_VALUE"""),"Guilford College")</f>
        <v>Guilford College</v>
      </c>
      <c r="D652" s="4" t="str">
        <f ca="1">IFERROR(__xludf.DUMMYFUNCTION("""COMPUTED_VALUE"""),"http://www.guilford.edu/")</f>
        <v>http://www.guilford.edu/</v>
      </c>
      <c r="G652" s="2" t="str">
        <f t="shared" ca="1" si="0"/>
        <v>Guilford College</v>
      </c>
      <c r="H652" s="5" t="str">
        <f t="shared" ca="1" si="1"/>
        <v>Guilford College</v>
      </c>
      <c r="I652" s="3" t="str">
        <f t="shared" ca="1" si="2"/>
        <v>'Guilford College',</v>
      </c>
    </row>
    <row r="653" spans="1:9">
      <c r="A653" s="1" t="s">
        <v>651</v>
      </c>
      <c r="B653" s="3" t="str">
        <f ca="1">IFERROR(__xludf.DUMMYFUNCTION("SPLIT(A653,"","")"),"US")</f>
        <v>US</v>
      </c>
      <c r="C653" s="3" t="str">
        <f ca="1">IFERROR(__xludf.DUMMYFUNCTION("""COMPUTED_VALUE"""),"Gustavus Adolphus College")</f>
        <v>Gustavus Adolphus College</v>
      </c>
      <c r="D653" s="4" t="str">
        <f ca="1">IFERROR(__xludf.DUMMYFUNCTION("""COMPUTED_VALUE"""),"http://www.gac.edu/")</f>
        <v>http://www.gac.edu/</v>
      </c>
      <c r="G653" s="2" t="str">
        <f t="shared" ca="1" si="0"/>
        <v>Gustavus Adolphus College</v>
      </c>
      <c r="H653" s="5" t="str">
        <f t="shared" ca="1" si="1"/>
        <v>Gustavus Adolphus College</v>
      </c>
      <c r="I653" s="3" t="str">
        <f t="shared" ca="1" si="2"/>
        <v>'Gustavus Adolphus College',</v>
      </c>
    </row>
    <row r="654" spans="1:9">
      <c r="A654" s="1" t="s">
        <v>652</v>
      </c>
      <c r="B654" s="3" t="str">
        <f ca="1">IFERROR(__xludf.DUMMYFUNCTION("SPLIT(A654,"","")"),"US")</f>
        <v>US</v>
      </c>
      <c r="C654" s="3" t="str">
        <f ca="1">IFERROR(__xludf.DUMMYFUNCTION("""COMPUTED_VALUE"""),"Gwynedd-Mercy College")</f>
        <v>Gwynedd-Mercy College</v>
      </c>
      <c r="D654" s="4" t="str">
        <f ca="1">IFERROR(__xludf.DUMMYFUNCTION("""COMPUTED_VALUE"""),"http://www.gmc.edu/")</f>
        <v>http://www.gmc.edu/</v>
      </c>
      <c r="G654" s="2" t="str">
        <f t="shared" ca="1" si="0"/>
        <v>Gwynedd-Mercy College</v>
      </c>
      <c r="H654" s="5" t="str">
        <f t="shared" ca="1" si="1"/>
        <v>Gwynedd-Mercy College</v>
      </c>
      <c r="I654" s="3" t="str">
        <f t="shared" ca="1" si="2"/>
        <v>'Gwynedd-Mercy College',</v>
      </c>
    </row>
    <row r="655" spans="1:9">
      <c r="A655" s="1" t="s">
        <v>653</v>
      </c>
      <c r="B655" s="3" t="str">
        <f ca="1">IFERROR(__xludf.DUMMYFUNCTION("SPLIT(A655,"","")"),"US")</f>
        <v>US</v>
      </c>
      <c r="C655" s="3" t="str">
        <f ca="1">IFERROR(__xludf.DUMMYFUNCTION("""COMPUTED_VALUE"""),"Hagerstown Community College")</f>
        <v>Hagerstown Community College</v>
      </c>
      <c r="D655" s="4" t="str">
        <f ca="1">IFERROR(__xludf.DUMMYFUNCTION("""COMPUTED_VALUE"""),"http://www.hcc.cc.md.us/")</f>
        <v>http://www.hcc.cc.md.us/</v>
      </c>
      <c r="G655" s="2" t="str">
        <f t="shared" ca="1" si="0"/>
        <v>Hagerstown Community College</v>
      </c>
      <c r="H655" s="5" t="str">
        <f t="shared" ca="1" si="1"/>
        <v>Hagerstown Community College</v>
      </c>
      <c r="I655" s="3" t="str">
        <f t="shared" ca="1" si="2"/>
        <v>'Hagerstown Community College',</v>
      </c>
    </row>
    <row r="656" spans="1:9">
      <c r="A656" s="1" t="s">
        <v>654</v>
      </c>
      <c r="B656" s="3" t="str">
        <f ca="1">IFERROR(__xludf.DUMMYFUNCTION("SPLIT(A656,"","")"),"US")</f>
        <v>US</v>
      </c>
      <c r="C656" s="3" t="str">
        <f ca="1">IFERROR(__xludf.DUMMYFUNCTION("""COMPUTED_VALUE"""),"Hamilton College")</f>
        <v>Hamilton College</v>
      </c>
      <c r="D656" s="4" t="str">
        <f ca="1">IFERROR(__xludf.DUMMYFUNCTION("""COMPUTED_VALUE"""),"http://www.hamilton.edu/")</f>
        <v>http://www.hamilton.edu/</v>
      </c>
      <c r="G656" s="2" t="str">
        <f t="shared" ca="1" si="0"/>
        <v>Hamilton College</v>
      </c>
      <c r="H656" s="5" t="str">
        <f t="shared" ca="1" si="1"/>
        <v>Hamilton College</v>
      </c>
      <c r="I656" s="3" t="str">
        <f t="shared" ca="1" si="2"/>
        <v>'Hamilton College',</v>
      </c>
    </row>
    <row r="657" spans="1:9">
      <c r="A657" s="1" t="s">
        <v>655</v>
      </c>
      <c r="B657" s="3" t="str">
        <f ca="1">IFERROR(__xludf.DUMMYFUNCTION("SPLIT(A657,"","")"),"US")</f>
        <v>US</v>
      </c>
      <c r="C657" s="3" t="str">
        <f ca="1">IFERROR(__xludf.DUMMYFUNCTION("""COMPUTED_VALUE"""),"Hamilton Technical College")</f>
        <v>Hamilton Technical College</v>
      </c>
      <c r="D657" s="4" t="str">
        <f ca="1">IFERROR(__xludf.DUMMYFUNCTION("""COMPUTED_VALUE"""),"http://www.vca1.com/hamiltontech/")</f>
        <v>http://www.vca1.com/hamiltontech/</v>
      </c>
      <c r="G657" s="2" t="str">
        <f t="shared" ca="1" si="0"/>
        <v>Hamilton Technical College</v>
      </c>
      <c r="H657" s="5" t="str">
        <f t="shared" ca="1" si="1"/>
        <v>Hamilton Technical College</v>
      </c>
      <c r="I657" s="3" t="str">
        <f t="shared" ca="1" si="2"/>
        <v>'Hamilton Technical College',</v>
      </c>
    </row>
    <row r="658" spans="1:9">
      <c r="A658" s="1" t="s">
        <v>656</v>
      </c>
      <c r="B658" s="3" t="str">
        <f ca="1">IFERROR(__xludf.DUMMYFUNCTION("SPLIT(A658,"","")"),"US")</f>
        <v>US</v>
      </c>
      <c r="C658" s="3" t="str">
        <f ca="1">IFERROR(__xludf.DUMMYFUNCTION("""COMPUTED_VALUE"""),"Hamline University")</f>
        <v>Hamline University</v>
      </c>
      <c r="D658" s="4" t="str">
        <f ca="1">IFERROR(__xludf.DUMMYFUNCTION("""COMPUTED_VALUE"""),"http://www.hamline.edu/")</f>
        <v>http://www.hamline.edu/</v>
      </c>
      <c r="G658" s="2" t="str">
        <f t="shared" ca="1" si="0"/>
        <v>Hamline University</v>
      </c>
      <c r="H658" s="5" t="str">
        <f t="shared" ca="1" si="1"/>
        <v>Hamline University</v>
      </c>
      <c r="I658" s="3" t="str">
        <f t="shared" ca="1" si="2"/>
        <v>'Hamline University',</v>
      </c>
    </row>
    <row r="659" spans="1:9">
      <c r="A659" s="1" t="s">
        <v>657</v>
      </c>
      <c r="B659" s="3" t="str">
        <f ca="1">IFERROR(__xludf.DUMMYFUNCTION("SPLIT(A659,"","")"),"US")</f>
        <v>US</v>
      </c>
      <c r="C659" s="3" t="str">
        <f ca="1">IFERROR(__xludf.DUMMYFUNCTION("""COMPUTED_VALUE"""),"Hampden-Sydney College")</f>
        <v>Hampden-Sydney College</v>
      </c>
      <c r="D659" s="4" t="str">
        <f ca="1">IFERROR(__xludf.DUMMYFUNCTION("""COMPUTED_VALUE"""),"http://www.hsc.edu/")</f>
        <v>http://www.hsc.edu/</v>
      </c>
      <c r="G659" s="2" t="str">
        <f t="shared" ca="1" si="0"/>
        <v>Hampden-Sydney College</v>
      </c>
      <c r="H659" s="5" t="str">
        <f t="shared" ca="1" si="1"/>
        <v>Hampden-Sydney College</v>
      </c>
      <c r="I659" s="3" t="str">
        <f t="shared" ca="1" si="2"/>
        <v>'Hampden-Sydney College',</v>
      </c>
    </row>
    <row r="660" spans="1:9">
      <c r="A660" s="1" t="s">
        <v>658</v>
      </c>
      <c r="B660" s="3" t="str">
        <f ca="1">IFERROR(__xludf.DUMMYFUNCTION("SPLIT(A660,"","")"),"US")</f>
        <v>US</v>
      </c>
      <c r="C660" s="3" t="str">
        <f ca="1">IFERROR(__xludf.DUMMYFUNCTION("""COMPUTED_VALUE"""),"Hampshire College")</f>
        <v>Hampshire College</v>
      </c>
      <c r="D660" s="4" t="str">
        <f ca="1">IFERROR(__xludf.DUMMYFUNCTION("""COMPUTED_VALUE"""),"http://www.hampshire.edu/")</f>
        <v>http://www.hampshire.edu/</v>
      </c>
      <c r="G660" s="2" t="str">
        <f t="shared" ca="1" si="0"/>
        <v>Hampshire College</v>
      </c>
      <c r="H660" s="5" t="str">
        <f t="shared" ca="1" si="1"/>
        <v>Hampshire College</v>
      </c>
      <c r="I660" s="3" t="str">
        <f t="shared" ca="1" si="2"/>
        <v>'Hampshire College',</v>
      </c>
    </row>
    <row r="661" spans="1:9">
      <c r="A661" s="1" t="s">
        <v>659</v>
      </c>
      <c r="B661" s="3" t="str">
        <f ca="1">IFERROR(__xludf.DUMMYFUNCTION("SPLIT(A661,"","")"),"US")</f>
        <v>US</v>
      </c>
      <c r="C661" s="3" t="str">
        <f ca="1">IFERROR(__xludf.DUMMYFUNCTION("""COMPUTED_VALUE"""),"Hampton College")</f>
        <v>Hampton College</v>
      </c>
      <c r="D661" s="4" t="str">
        <f ca="1">IFERROR(__xludf.DUMMYFUNCTION("""COMPUTED_VALUE"""),"http://www.hamptoncollege.org/")</f>
        <v>http://www.hamptoncollege.org/</v>
      </c>
      <c r="G661" s="2" t="str">
        <f t="shared" ca="1" si="0"/>
        <v>Hampton College</v>
      </c>
      <c r="H661" s="5" t="str">
        <f t="shared" ca="1" si="1"/>
        <v>Hampton College</v>
      </c>
      <c r="I661" s="3" t="str">
        <f t="shared" ca="1" si="2"/>
        <v>'Hampton College',</v>
      </c>
    </row>
    <row r="662" spans="1:9">
      <c r="A662" s="1" t="s">
        <v>660</v>
      </c>
      <c r="B662" s="3" t="str">
        <f ca="1">IFERROR(__xludf.DUMMYFUNCTION("SPLIT(A662,"","")"),"US")</f>
        <v>US</v>
      </c>
      <c r="C662" s="3" t="str">
        <f ca="1">IFERROR(__xludf.DUMMYFUNCTION("""COMPUTED_VALUE"""),"Hampton University")</f>
        <v>Hampton University</v>
      </c>
      <c r="D662" s="4" t="str">
        <f ca="1">IFERROR(__xludf.DUMMYFUNCTION("""COMPUTED_VALUE"""),"http://www.hamptonu.edu/")</f>
        <v>http://www.hamptonu.edu/</v>
      </c>
      <c r="G662" s="2" t="str">
        <f t="shared" ca="1" si="0"/>
        <v>Hampton University</v>
      </c>
      <c r="H662" s="5" t="str">
        <f t="shared" ca="1" si="1"/>
        <v>Hampton University</v>
      </c>
      <c r="I662" s="3" t="str">
        <f t="shared" ca="1" si="2"/>
        <v>'Hampton University',</v>
      </c>
    </row>
    <row r="663" spans="1:9">
      <c r="A663" s="1" t="s">
        <v>661</v>
      </c>
      <c r="B663" s="3" t="str">
        <f ca="1">IFERROR(__xludf.DUMMYFUNCTION("SPLIT(A663,"","")"),"US")</f>
        <v>US</v>
      </c>
      <c r="C663" s="3" t="str">
        <f ca="1">IFERROR(__xludf.DUMMYFUNCTION("""COMPUTED_VALUE"""),"Hannibal-Lagrange College")</f>
        <v>Hannibal-Lagrange College</v>
      </c>
      <c r="D663" s="4" t="str">
        <f ca="1">IFERROR(__xludf.DUMMYFUNCTION("""COMPUTED_VALUE"""),"http://www.hlg.edu/")</f>
        <v>http://www.hlg.edu/</v>
      </c>
      <c r="G663" s="2" t="str">
        <f t="shared" ca="1" si="0"/>
        <v>Hannibal-Lagrange College</v>
      </c>
      <c r="H663" s="5" t="str">
        <f t="shared" ca="1" si="1"/>
        <v>Hannibal-Lagrange College</v>
      </c>
      <c r="I663" s="3" t="str">
        <f t="shared" ca="1" si="2"/>
        <v>'Hannibal-Lagrange College',</v>
      </c>
    </row>
    <row r="664" spans="1:9">
      <c r="A664" s="1" t="s">
        <v>662</v>
      </c>
      <c r="B664" s="3" t="str">
        <f ca="1">IFERROR(__xludf.DUMMYFUNCTION("SPLIT(A664,"","")"),"US")</f>
        <v>US</v>
      </c>
      <c r="C664" s="3" t="str">
        <f ca="1">IFERROR(__xludf.DUMMYFUNCTION("""COMPUTED_VALUE"""),"Hanover College")</f>
        <v>Hanover College</v>
      </c>
      <c r="D664" s="4" t="str">
        <f ca="1">IFERROR(__xludf.DUMMYFUNCTION("""COMPUTED_VALUE"""),"http://www.hanover.edu/")</f>
        <v>http://www.hanover.edu/</v>
      </c>
      <c r="G664" s="2" t="str">
        <f t="shared" ca="1" si="0"/>
        <v>Hanover College</v>
      </c>
      <c r="H664" s="5" t="str">
        <f t="shared" ca="1" si="1"/>
        <v>Hanover College</v>
      </c>
      <c r="I664" s="3" t="str">
        <f t="shared" ca="1" si="2"/>
        <v>'Hanover College',</v>
      </c>
    </row>
    <row r="665" spans="1:9">
      <c r="A665" s="1" t="s">
        <v>663</v>
      </c>
      <c r="B665" s="3" t="str">
        <f ca="1">IFERROR(__xludf.DUMMYFUNCTION("SPLIT(A665,"","")"),"US")</f>
        <v>US</v>
      </c>
      <c r="C665" s="3" t="str">
        <f ca="1">IFERROR(__xludf.DUMMYFUNCTION("""COMPUTED_VALUE"""),"Harding University")</f>
        <v>Harding University</v>
      </c>
      <c r="D665" s="4" t="str">
        <f ca="1">IFERROR(__xludf.DUMMYFUNCTION("""COMPUTED_VALUE"""),"http://www.harding.edu/")</f>
        <v>http://www.harding.edu/</v>
      </c>
      <c r="G665" s="2" t="str">
        <f t="shared" ca="1" si="0"/>
        <v>Harding University</v>
      </c>
      <c r="H665" s="5" t="str">
        <f t="shared" ca="1" si="1"/>
        <v>Harding University</v>
      </c>
      <c r="I665" s="3" t="str">
        <f t="shared" ca="1" si="2"/>
        <v>'Harding University',</v>
      </c>
    </row>
    <row r="666" spans="1:9">
      <c r="A666" s="1" t="s">
        <v>664</v>
      </c>
      <c r="B666" s="3" t="str">
        <f ca="1">IFERROR(__xludf.DUMMYFUNCTION("SPLIT(A666,"","")"),"US")</f>
        <v>US</v>
      </c>
      <c r="C666" s="3" t="str">
        <f ca="1">IFERROR(__xludf.DUMMYFUNCTION("""COMPUTED_VALUE"""),"Harding University Graduate School of Religion")</f>
        <v>Harding University Graduate School of Religion</v>
      </c>
      <c r="D666" s="4" t="str">
        <f ca="1">IFERROR(__xludf.DUMMYFUNCTION("""COMPUTED_VALUE"""),"http://www.hugsr.edu/")</f>
        <v>http://www.hugsr.edu/</v>
      </c>
      <c r="G666" s="2" t="str">
        <f t="shared" ca="1" si="0"/>
        <v>Harding University Graduate School of Religion</v>
      </c>
      <c r="H666" s="5" t="str">
        <f t="shared" ca="1" si="1"/>
        <v>Harding University Graduate School of Religion</v>
      </c>
      <c r="I666" s="3" t="str">
        <f t="shared" ca="1" si="2"/>
        <v>'Harding University Graduate School of Religion',</v>
      </c>
    </row>
    <row r="667" spans="1:9">
      <c r="A667" s="1" t="s">
        <v>665</v>
      </c>
      <c r="B667" s="3" t="str">
        <f ca="1">IFERROR(__xludf.DUMMYFUNCTION("SPLIT(A667,"","")"),"US")</f>
        <v>US</v>
      </c>
      <c r="C667" s="3" t="str">
        <f ca="1">IFERROR(__xludf.DUMMYFUNCTION("""COMPUTED_VALUE"""),"Hardin-Simmons University")</f>
        <v>Hardin-Simmons University</v>
      </c>
      <c r="D667" s="4" t="str">
        <f ca="1">IFERROR(__xludf.DUMMYFUNCTION("""COMPUTED_VALUE"""),"http://www.hsutx.edu/")</f>
        <v>http://www.hsutx.edu/</v>
      </c>
      <c r="G667" s="2" t="str">
        <f t="shared" ca="1" si="0"/>
        <v>Hardin-Simmons University</v>
      </c>
      <c r="H667" s="5" t="str">
        <f t="shared" ca="1" si="1"/>
        <v>Hardin-Simmons University</v>
      </c>
      <c r="I667" s="3" t="str">
        <f t="shared" ca="1" si="2"/>
        <v>'Hardin-Simmons University',</v>
      </c>
    </row>
    <row r="668" spans="1:9">
      <c r="A668" s="1" t="s">
        <v>666</v>
      </c>
      <c r="B668" s="3" t="str">
        <f ca="1">IFERROR(__xludf.DUMMYFUNCTION("SPLIT(A668,"","")"),"US")</f>
        <v>US</v>
      </c>
      <c r="C668" s="3" t="str">
        <f ca="1">IFERROR(__xludf.DUMMYFUNCTION("""COMPUTED_VALUE"""),"Harrington Institute of Interior Design")</f>
        <v>Harrington Institute of Interior Design</v>
      </c>
      <c r="D668" s="4" t="str">
        <f ca="1">IFERROR(__xludf.DUMMYFUNCTION("""COMPUTED_VALUE"""),"http://www.interiordesign.edu/")</f>
        <v>http://www.interiordesign.edu/</v>
      </c>
      <c r="G668" s="2" t="str">
        <f t="shared" ca="1" si="0"/>
        <v>Harrington Institute of Interior Design</v>
      </c>
      <c r="H668" s="5" t="str">
        <f t="shared" ca="1" si="1"/>
        <v>Harrington Institute of Interior Design</v>
      </c>
      <c r="I668" s="3" t="str">
        <f t="shared" ca="1" si="2"/>
        <v>'Harrington Institute of Interior Design',</v>
      </c>
    </row>
    <row r="669" spans="1:9">
      <c r="A669" s="1" t="s">
        <v>667</v>
      </c>
      <c r="B669" s="3" t="str">
        <f ca="1">IFERROR(__xludf.DUMMYFUNCTION("SPLIT(A669,"","")"),"US")</f>
        <v>US</v>
      </c>
      <c r="C669" s="3" t="str">
        <f ca="1">IFERROR(__xludf.DUMMYFUNCTION("""COMPUTED_VALUE"""),"Harris-Stowe State University")</f>
        <v>Harris-Stowe State University</v>
      </c>
      <c r="D669" s="4" t="str">
        <f ca="1">IFERROR(__xludf.DUMMYFUNCTION("""COMPUTED_VALUE"""),"http://www.hssu.edu/")</f>
        <v>http://www.hssu.edu/</v>
      </c>
      <c r="G669" s="2" t="str">
        <f t="shared" ca="1" si="0"/>
        <v>Harris-Stowe State University</v>
      </c>
      <c r="H669" s="5" t="str">
        <f t="shared" ca="1" si="1"/>
        <v>Harris-Stowe State University</v>
      </c>
      <c r="I669" s="3" t="str">
        <f t="shared" ca="1" si="2"/>
        <v>'Harris-Stowe State University',</v>
      </c>
    </row>
    <row r="670" spans="1:9">
      <c r="A670" s="1" t="s">
        <v>668</v>
      </c>
      <c r="B670" s="3" t="str">
        <f ca="1">IFERROR(__xludf.DUMMYFUNCTION("SPLIT(A670,"","")"),"US")</f>
        <v>US</v>
      </c>
      <c r="C670" s="3" t="str">
        <f ca="1">IFERROR(__xludf.DUMMYFUNCTION("""COMPUTED_VALUE"""),"Hartford College for Women")</f>
        <v>Hartford College for Women</v>
      </c>
      <c r="D670" s="4" t="str">
        <f ca="1">IFERROR(__xludf.DUMMYFUNCTION("""COMPUTED_VALUE"""),"http://www.hartford.edu/SchoolsColleges/HCW/HCW.html")</f>
        <v>http://www.hartford.edu/SchoolsColleges/HCW/HCW.html</v>
      </c>
      <c r="G670" s="2" t="str">
        <f t="shared" ca="1" si="0"/>
        <v>Hartford College for Women</v>
      </c>
      <c r="H670" s="5" t="str">
        <f t="shared" ca="1" si="1"/>
        <v>Hartford College for Women</v>
      </c>
      <c r="I670" s="3" t="str">
        <f t="shared" ca="1" si="2"/>
        <v>'Hartford College for Women',</v>
      </c>
    </row>
    <row r="671" spans="1:9">
      <c r="A671" s="1" t="s">
        <v>669</v>
      </c>
      <c r="B671" s="3" t="str">
        <f ca="1">IFERROR(__xludf.DUMMYFUNCTION("SPLIT(A671,"","")"),"US")</f>
        <v>US</v>
      </c>
      <c r="C671" s="3" t="str">
        <f ca="1">IFERROR(__xludf.DUMMYFUNCTION("""COMPUTED_VALUE"""),"Hartford Graduate Center (Rensselaer at Hartford)")</f>
        <v>Hartford Graduate Center (Rensselaer at Hartford)</v>
      </c>
      <c r="D671" s="4" t="str">
        <f ca="1">IFERROR(__xludf.DUMMYFUNCTION("""COMPUTED_VALUE"""),"http://www.hgc.edu/")</f>
        <v>http://www.hgc.edu/</v>
      </c>
      <c r="G671" s="2" t="str">
        <f t="shared" ca="1" si="0"/>
        <v>Hartford Graduate Center (Rensselaer at Hartford)</v>
      </c>
      <c r="H671" s="5" t="str">
        <f t="shared" ca="1" si="1"/>
        <v>Hartford Graduate Center (Rensselaer at Hartford)</v>
      </c>
      <c r="I671" s="3" t="str">
        <f t="shared" ca="1" si="2"/>
        <v>'Hartford Graduate Center (Rensselaer at Hartford)',</v>
      </c>
    </row>
    <row r="672" spans="1:9">
      <c r="A672" s="1" t="s">
        <v>670</v>
      </c>
      <c r="B672" s="3" t="str">
        <f ca="1">IFERROR(__xludf.DUMMYFUNCTION("SPLIT(A672,"","")"),"US")</f>
        <v>US</v>
      </c>
      <c r="C672" s="3" t="str">
        <f ca="1">IFERROR(__xludf.DUMMYFUNCTION("""COMPUTED_VALUE"""),"Hartwick College")</f>
        <v>Hartwick College</v>
      </c>
      <c r="D672" s="4" t="str">
        <f ca="1">IFERROR(__xludf.DUMMYFUNCTION("""COMPUTED_VALUE"""),"http://www.hartwick.edu/")</f>
        <v>http://www.hartwick.edu/</v>
      </c>
      <c r="G672" s="2" t="str">
        <f t="shared" ca="1" si="0"/>
        <v>Hartwick College</v>
      </c>
      <c r="H672" s="5" t="str">
        <f t="shared" ca="1" si="1"/>
        <v>Hartwick College</v>
      </c>
      <c r="I672" s="3" t="str">
        <f t="shared" ca="1" si="2"/>
        <v>'Hartwick College',</v>
      </c>
    </row>
    <row r="673" spans="1:9">
      <c r="A673" s="1" t="s">
        <v>671</v>
      </c>
      <c r="B673" s="3" t="str">
        <f ca="1">IFERROR(__xludf.DUMMYFUNCTION("SPLIT(A673,"","")"),"US")</f>
        <v>US</v>
      </c>
      <c r="C673" s="3" t="str">
        <f ca="1">IFERROR(__xludf.DUMMYFUNCTION("""COMPUTED_VALUE"""),"Harvard University")</f>
        <v>Harvard University</v>
      </c>
      <c r="D673" s="4" t="str">
        <f ca="1">IFERROR(__xludf.DUMMYFUNCTION("""COMPUTED_VALUE"""),"http://www.harvard.edu/")</f>
        <v>http://www.harvard.edu/</v>
      </c>
      <c r="G673" s="2" t="str">
        <f t="shared" ca="1" si="0"/>
        <v>Harvard University</v>
      </c>
      <c r="H673" s="5" t="str">
        <f t="shared" ca="1" si="1"/>
        <v>Harvard University</v>
      </c>
      <c r="I673" s="3" t="str">
        <f t="shared" ca="1" si="2"/>
        <v>'Harvard University',</v>
      </c>
    </row>
    <row r="674" spans="1:9">
      <c r="A674" s="1" t="s">
        <v>672</v>
      </c>
      <c r="B674" s="3" t="str">
        <f ca="1">IFERROR(__xludf.DUMMYFUNCTION("SPLIT(A674,"","")"),"US")</f>
        <v>US</v>
      </c>
      <c r="C674" s="3" t="str">
        <f ca="1">IFERROR(__xludf.DUMMYFUNCTION("""COMPUTED_VALUE"""),"Harvey Mudd College")</f>
        <v>Harvey Mudd College</v>
      </c>
      <c r="D674" s="4" t="str">
        <f ca="1">IFERROR(__xludf.DUMMYFUNCTION("""COMPUTED_VALUE"""),"http://www.hmc.edu/")</f>
        <v>http://www.hmc.edu/</v>
      </c>
      <c r="G674" s="2" t="str">
        <f t="shared" ca="1" si="0"/>
        <v>Harvey Mudd College</v>
      </c>
      <c r="H674" s="5" t="str">
        <f t="shared" ca="1" si="1"/>
        <v>Harvey Mudd College</v>
      </c>
      <c r="I674" s="3" t="str">
        <f t="shared" ca="1" si="2"/>
        <v>'Harvey Mudd College',</v>
      </c>
    </row>
    <row r="675" spans="1:9">
      <c r="A675" s="1" t="s">
        <v>673</v>
      </c>
      <c r="B675" s="3" t="str">
        <f ca="1">IFERROR(__xludf.DUMMYFUNCTION("SPLIT(A675,"","")"),"US")</f>
        <v>US</v>
      </c>
      <c r="C675" s="3" t="str">
        <f ca="1">IFERROR(__xludf.DUMMYFUNCTION("""COMPUTED_VALUE"""),"Hastings College")</f>
        <v>Hastings College</v>
      </c>
      <c r="D675" s="4" t="str">
        <f ca="1">IFERROR(__xludf.DUMMYFUNCTION("""COMPUTED_VALUE"""),"http://www.hastings.edu/")</f>
        <v>http://www.hastings.edu/</v>
      </c>
      <c r="G675" s="2" t="str">
        <f t="shared" ca="1" si="0"/>
        <v>Hastings College</v>
      </c>
      <c r="H675" s="5" t="str">
        <f t="shared" ca="1" si="1"/>
        <v>Hastings College</v>
      </c>
      <c r="I675" s="3" t="str">
        <f t="shared" ca="1" si="2"/>
        <v>'Hastings College',</v>
      </c>
    </row>
    <row r="676" spans="1:9">
      <c r="A676" s="1" t="s">
        <v>674</v>
      </c>
      <c r="B676" s="3" t="str">
        <f ca="1">IFERROR(__xludf.DUMMYFUNCTION("SPLIT(A676,"","")"),"US")</f>
        <v>US</v>
      </c>
      <c r="C676" s="3" t="str">
        <f ca="1">IFERROR(__xludf.DUMMYFUNCTION("""COMPUTED_VALUE"""),"Haverford College")</f>
        <v>Haverford College</v>
      </c>
      <c r="D676" s="4" t="str">
        <f ca="1">IFERROR(__xludf.DUMMYFUNCTION("""COMPUTED_VALUE"""),"http://www.haverford.edu/")</f>
        <v>http://www.haverford.edu/</v>
      </c>
      <c r="G676" s="2" t="str">
        <f t="shared" ca="1" si="0"/>
        <v>Haverford College</v>
      </c>
      <c r="H676" s="5" t="str">
        <f t="shared" ca="1" si="1"/>
        <v>Haverford College</v>
      </c>
      <c r="I676" s="3" t="str">
        <f t="shared" ca="1" si="2"/>
        <v>'Haverford College',</v>
      </c>
    </row>
    <row r="677" spans="1:9">
      <c r="A677" s="1" t="s">
        <v>675</v>
      </c>
      <c r="B677" s="3" t="str">
        <f ca="1">IFERROR(__xludf.DUMMYFUNCTION("SPLIT(A677,"","")"),"US")</f>
        <v>US</v>
      </c>
      <c r="C677" s="3" t="str">
        <f ca="1">IFERROR(__xludf.DUMMYFUNCTION("""COMPUTED_VALUE"""),"Hawaii Pacific University")</f>
        <v>Hawaii Pacific University</v>
      </c>
      <c r="D677" s="4" t="str">
        <f ca="1">IFERROR(__xludf.DUMMYFUNCTION("""COMPUTED_VALUE"""),"http://www.hpu.edu/")</f>
        <v>http://www.hpu.edu/</v>
      </c>
      <c r="G677" s="2" t="str">
        <f t="shared" ca="1" si="0"/>
        <v>Hawaii Pacific University</v>
      </c>
      <c r="H677" s="5" t="str">
        <f t="shared" ca="1" si="1"/>
        <v>Hawaii Pacific University</v>
      </c>
      <c r="I677" s="3" t="str">
        <f t="shared" ca="1" si="2"/>
        <v>'Hawaii Pacific University',</v>
      </c>
    </row>
    <row r="678" spans="1:9">
      <c r="A678" s="1" t="s">
        <v>676</v>
      </c>
      <c r="B678" s="3" t="str">
        <f ca="1">IFERROR(__xludf.DUMMYFUNCTION("SPLIT(A678,"","")"),"US")</f>
        <v>US</v>
      </c>
      <c r="C678" s="3" t="str">
        <f ca="1">IFERROR(__xludf.DUMMYFUNCTION("""COMPUTED_VALUE"""),"Heartland Baptist Bible College")</f>
        <v>Heartland Baptist Bible College</v>
      </c>
      <c r="D678" s="4" t="str">
        <f ca="1">IFERROR(__xludf.DUMMYFUNCTION("""COMPUTED_VALUE"""),"http://www.hbbc.edu/")</f>
        <v>http://www.hbbc.edu/</v>
      </c>
      <c r="G678" s="2" t="str">
        <f t="shared" ca="1" si="0"/>
        <v>Heartland Baptist Bible College</v>
      </c>
      <c r="H678" s="5" t="str">
        <f t="shared" ca="1" si="1"/>
        <v>Heartland Baptist Bible College</v>
      </c>
      <c r="I678" s="3" t="str">
        <f t="shared" ca="1" si="2"/>
        <v>'Heartland Baptist Bible College',</v>
      </c>
    </row>
    <row r="679" spans="1:9">
      <c r="A679" s="1" t="s">
        <v>677</v>
      </c>
      <c r="B679" s="3" t="str">
        <f ca="1">IFERROR(__xludf.DUMMYFUNCTION("SPLIT(A679,"","")"),"US")</f>
        <v>US</v>
      </c>
      <c r="C679" s="3" t="str">
        <f ca="1">IFERROR(__xludf.DUMMYFUNCTION("""COMPUTED_VALUE"""),"Hebrew College")</f>
        <v>Hebrew College</v>
      </c>
      <c r="D679" s="4" t="str">
        <f ca="1">IFERROR(__xludf.DUMMYFUNCTION("""COMPUTED_VALUE"""),"http://www.hebrewcollege.edu/")</f>
        <v>http://www.hebrewcollege.edu/</v>
      </c>
      <c r="G679" s="2" t="str">
        <f t="shared" ca="1" si="0"/>
        <v>Hebrew College</v>
      </c>
      <c r="H679" s="5" t="str">
        <f t="shared" ca="1" si="1"/>
        <v>Hebrew College</v>
      </c>
      <c r="I679" s="3" t="str">
        <f t="shared" ca="1" si="2"/>
        <v>'Hebrew College',</v>
      </c>
    </row>
    <row r="680" spans="1:9">
      <c r="A680" s="1" t="s">
        <v>678</v>
      </c>
      <c r="B680" s="3" t="str">
        <f ca="1">IFERROR(__xludf.DUMMYFUNCTION("SPLIT(A680,"","")"),"US")</f>
        <v>US</v>
      </c>
      <c r="C680" s="3" t="str">
        <f ca="1">IFERROR(__xludf.DUMMYFUNCTION("""COMPUTED_VALUE"""),"Heidelberg College")</f>
        <v>Heidelberg College</v>
      </c>
      <c r="D680" s="4" t="str">
        <f ca="1">IFERROR(__xludf.DUMMYFUNCTION("""COMPUTED_VALUE"""),"http://www.heidelberg.edu/")</f>
        <v>http://www.heidelberg.edu/</v>
      </c>
      <c r="G680" s="2" t="str">
        <f t="shared" ca="1" si="0"/>
        <v>Heidelberg College</v>
      </c>
      <c r="H680" s="5" t="str">
        <f t="shared" ca="1" si="1"/>
        <v>Heidelberg College</v>
      </c>
      <c r="I680" s="3" t="str">
        <f t="shared" ca="1" si="2"/>
        <v>'Heidelberg College',</v>
      </c>
    </row>
    <row r="681" spans="1:9">
      <c r="A681" s="1" t="s">
        <v>679</v>
      </c>
      <c r="B681" s="3" t="str">
        <f ca="1">IFERROR(__xludf.DUMMYFUNCTION("SPLIT(A681,"","")"),"US")</f>
        <v>US</v>
      </c>
      <c r="C681" s="3" t="str">
        <f ca="1">IFERROR(__xludf.DUMMYFUNCTION("""COMPUTED_VALUE"""),"Henderson State Univerisity")</f>
        <v>Henderson State Univerisity</v>
      </c>
      <c r="D681" s="4" t="str">
        <f ca="1">IFERROR(__xludf.DUMMYFUNCTION("""COMPUTED_VALUE"""),"http://www.hsu.edu/")</f>
        <v>http://www.hsu.edu/</v>
      </c>
      <c r="G681" s="2" t="str">
        <f t="shared" ca="1" si="0"/>
        <v>Henderson State Univerisity</v>
      </c>
      <c r="H681" s="5" t="str">
        <f t="shared" ca="1" si="1"/>
        <v>Henderson State Univerisity</v>
      </c>
      <c r="I681" s="3" t="str">
        <f t="shared" ca="1" si="2"/>
        <v>'Henderson State Univerisity',</v>
      </c>
    </row>
    <row r="682" spans="1:9">
      <c r="A682" s="1" t="s">
        <v>680</v>
      </c>
      <c r="B682" s="3" t="str">
        <f ca="1">IFERROR(__xludf.DUMMYFUNCTION("SPLIT(A682,"","")"),"US")</f>
        <v>US</v>
      </c>
      <c r="C682" s="3" t="str">
        <f ca="1">IFERROR(__xludf.DUMMYFUNCTION("""COMPUTED_VALUE"""),"Hendrix College")</f>
        <v>Hendrix College</v>
      </c>
      <c r="D682" s="4" t="str">
        <f ca="1">IFERROR(__xludf.DUMMYFUNCTION("""COMPUTED_VALUE"""),"http://www.hendrix.edu/")</f>
        <v>http://www.hendrix.edu/</v>
      </c>
      <c r="G682" s="2" t="str">
        <f t="shared" ca="1" si="0"/>
        <v>Hendrix College</v>
      </c>
      <c r="H682" s="5" t="str">
        <f t="shared" ca="1" si="1"/>
        <v>Hendrix College</v>
      </c>
      <c r="I682" s="3" t="str">
        <f t="shared" ca="1" si="2"/>
        <v>'Hendrix College',</v>
      </c>
    </row>
    <row r="683" spans="1:9">
      <c r="A683" s="1" t="s">
        <v>681</v>
      </c>
      <c r="B683" s="3" t="str">
        <f ca="1">IFERROR(__xludf.DUMMYFUNCTION("SPLIT(A683,"","")"),"US")</f>
        <v>US</v>
      </c>
      <c r="C683" s="3" t="str">
        <f ca="1">IFERROR(__xludf.DUMMYFUNCTION("""COMPUTED_VALUE"""),"Heritage College")</f>
        <v>Heritage College</v>
      </c>
      <c r="D683" s="4" t="str">
        <f ca="1">IFERROR(__xludf.DUMMYFUNCTION("""COMPUTED_VALUE"""),"http://www.heritage.edu/")</f>
        <v>http://www.heritage.edu/</v>
      </c>
      <c r="G683" s="2" t="str">
        <f t="shared" ca="1" si="0"/>
        <v>Heritage College</v>
      </c>
      <c r="H683" s="5" t="str">
        <f t="shared" ca="1" si="1"/>
        <v>Heritage College</v>
      </c>
      <c r="I683" s="3" t="str">
        <f t="shared" ca="1" si="2"/>
        <v>'Heritage College',</v>
      </c>
    </row>
    <row r="684" spans="1:9">
      <c r="A684" s="1" t="s">
        <v>682</v>
      </c>
      <c r="B684" s="3" t="str">
        <f ca="1">IFERROR(__xludf.DUMMYFUNCTION("SPLIT(A684,"","")"),"US")</f>
        <v>US</v>
      </c>
      <c r="C684" s="3" t="str">
        <f ca="1">IFERROR(__xludf.DUMMYFUNCTION("""COMPUTED_VALUE"""),"Hesser College")</f>
        <v>Hesser College</v>
      </c>
      <c r="D684" s="4" t="str">
        <f ca="1">IFERROR(__xludf.DUMMYFUNCTION("""COMPUTED_VALUE"""),"http://www.hesser.edu/")</f>
        <v>http://www.hesser.edu/</v>
      </c>
      <c r="G684" s="2" t="str">
        <f t="shared" ca="1" si="0"/>
        <v>Hesser College</v>
      </c>
      <c r="H684" s="5" t="str">
        <f t="shared" ca="1" si="1"/>
        <v>Hesser College</v>
      </c>
      <c r="I684" s="3" t="str">
        <f t="shared" ca="1" si="2"/>
        <v>'Hesser College',</v>
      </c>
    </row>
    <row r="685" spans="1:9">
      <c r="A685" s="1" t="s">
        <v>683</v>
      </c>
      <c r="B685" s="3" t="str">
        <f ca="1">IFERROR(__xludf.DUMMYFUNCTION("SPLIT(A685,"","")"),"US")</f>
        <v>US</v>
      </c>
      <c r="C685" s="3" t="str">
        <f ca="1">IFERROR(__xludf.DUMMYFUNCTION("""COMPUTED_VALUE"""),"High Point University")</f>
        <v>High Point University</v>
      </c>
      <c r="D685" s="4" t="str">
        <f ca="1">IFERROR(__xludf.DUMMYFUNCTION("""COMPUTED_VALUE"""),"http://www.highpoint.edu/")</f>
        <v>http://www.highpoint.edu/</v>
      </c>
      <c r="G685" s="2" t="str">
        <f t="shared" ca="1" si="0"/>
        <v>High Point University</v>
      </c>
      <c r="H685" s="5" t="str">
        <f t="shared" ca="1" si="1"/>
        <v>High Point University</v>
      </c>
      <c r="I685" s="3" t="str">
        <f t="shared" ca="1" si="2"/>
        <v>'High Point University',</v>
      </c>
    </row>
    <row r="686" spans="1:9">
      <c r="A686" s="1" t="s">
        <v>684</v>
      </c>
      <c r="B686" s="3" t="str">
        <f ca="1">IFERROR(__xludf.DUMMYFUNCTION("SPLIT(A686,"","")"),"US")</f>
        <v>US</v>
      </c>
      <c r="C686" s="3" t="str">
        <f ca="1">IFERROR(__xludf.DUMMYFUNCTION("""COMPUTED_VALUE"""),"Hilbert College")</f>
        <v>Hilbert College</v>
      </c>
      <c r="D686" s="4" t="str">
        <f ca="1">IFERROR(__xludf.DUMMYFUNCTION("""COMPUTED_VALUE"""),"http://www.hilbert.edu/")</f>
        <v>http://www.hilbert.edu/</v>
      </c>
      <c r="G686" s="2" t="str">
        <f t="shared" ca="1" si="0"/>
        <v>Hilbert College</v>
      </c>
      <c r="H686" s="5" t="str">
        <f t="shared" ca="1" si="1"/>
        <v>Hilbert College</v>
      </c>
      <c r="I686" s="3" t="str">
        <f t="shared" ca="1" si="2"/>
        <v>'Hilbert College',</v>
      </c>
    </row>
    <row r="687" spans="1:9">
      <c r="A687" s="1" t="s">
        <v>685</v>
      </c>
      <c r="B687" s="3" t="str">
        <f ca="1">IFERROR(__xludf.DUMMYFUNCTION("SPLIT(A687,"","")"),"US")</f>
        <v>US</v>
      </c>
      <c r="C687" s="3" t="str">
        <f ca="1">IFERROR(__xludf.DUMMYFUNCTION("""COMPUTED_VALUE"""),"Hillsdale College")</f>
        <v>Hillsdale College</v>
      </c>
      <c r="D687" s="4" t="str">
        <f ca="1">IFERROR(__xludf.DUMMYFUNCTION("""COMPUTED_VALUE"""),"http://www.hillsdale.edu/")</f>
        <v>http://www.hillsdale.edu/</v>
      </c>
      <c r="G687" s="2" t="str">
        <f t="shared" ca="1" si="0"/>
        <v>Hillsdale College</v>
      </c>
      <c r="H687" s="5" t="str">
        <f t="shared" ca="1" si="1"/>
        <v>Hillsdale College</v>
      </c>
      <c r="I687" s="3" t="str">
        <f t="shared" ca="1" si="2"/>
        <v>'Hillsdale College',</v>
      </c>
    </row>
    <row r="688" spans="1:9">
      <c r="A688" s="1" t="s">
        <v>686</v>
      </c>
      <c r="B688" s="3" t="str">
        <f ca="1">IFERROR(__xludf.DUMMYFUNCTION("SPLIT(A688,"","")"),"US")</f>
        <v>US</v>
      </c>
      <c r="C688" s="3" t="str">
        <f ca="1">IFERROR(__xludf.DUMMYFUNCTION("""COMPUTED_VALUE"""),"Hiram College")</f>
        <v>Hiram College</v>
      </c>
      <c r="D688" s="4" t="str">
        <f ca="1">IFERROR(__xludf.DUMMYFUNCTION("""COMPUTED_VALUE"""),"http://www.hiram.edu/")</f>
        <v>http://www.hiram.edu/</v>
      </c>
      <c r="G688" s="2" t="str">
        <f t="shared" ca="1" si="0"/>
        <v>Hiram College</v>
      </c>
      <c r="H688" s="5" t="str">
        <f t="shared" ca="1" si="1"/>
        <v>Hiram College</v>
      </c>
      <c r="I688" s="3" t="str">
        <f t="shared" ca="1" si="2"/>
        <v>'Hiram College',</v>
      </c>
    </row>
    <row r="689" spans="1:9">
      <c r="A689" s="1" t="s">
        <v>687</v>
      </c>
      <c r="B689" s="3" t="str">
        <f ca="1">IFERROR(__xludf.DUMMYFUNCTION("SPLIT(A689,"","")"),"US")</f>
        <v>US</v>
      </c>
      <c r="C689" s="3" t="str">
        <f ca="1">IFERROR(__xludf.DUMMYFUNCTION("""COMPUTED_VALUE"""),"Hobart and William Smith Colleges")</f>
        <v>Hobart and William Smith Colleges</v>
      </c>
      <c r="D689" s="4" t="str">
        <f ca="1">IFERROR(__xludf.DUMMYFUNCTION("""COMPUTED_VALUE"""),"http://www.hws.edu/")</f>
        <v>http://www.hws.edu/</v>
      </c>
      <c r="G689" s="2" t="str">
        <f t="shared" ca="1" si="0"/>
        <v>Hobart and William Smith Colleges</v>
      </c>
      <c r="H689" s="5" t="str">
        <f t="shared" ca="1" si="1"/>
        <v>Hobart and William Smith Colleges</v>
      </c>
      <c r="I689" s="3" t="str">
        <f t="shared" ca="1" si="2"/>
        <v>'Hobart and William Smith Colleges',</v>
      </c>
    </row>
    <row r="690" spans="1:9">
      <c r="A690" s="1" t="s">
        <v>688</v>
      </c>
      <c r="B690" s="3" t="str">
        <f ca="1">IFERROR(__xludf.DUMMYFUNCTION("SPLIT(A690,"","")"),"US")</f>
        <v>US</v>
      </c>
      <c r="C690" s="3" t="str">
        <f ca="1">IFERROR(__xludf.DUMMYFUNCTION("""COMPUTED_VALUE"""),"Hobe Sound Bible College")</f>
        <v>Hobe Sound Bible College</v>
      </c>
      <c r="D690" s="4" t="str">
        <f ca="1">IFERROR(__xludf.DUMMYFUNCTION("""COMPUTED_VALUE"""),"http://www.hsbc.edu/")</f>
        <v>http://www.hsbc.edu/</v>
      </c>
      <c r="G690" s="2" t="str">
        <f t="shared" ca="1" si="0"/>
        <v>Hobe Sound Bible College</v>
      </c>
      <c r="H690" s="5" t="str">
        <f t="shared" ca="1" si="1"/>
        <v>Hobe Sound Bible College</v>
      </c>
      <c r="I690" s="3" t="str">
        <f t="shared" ca="1" si="2"/>
        <v>'Hobe Sound Bible College',</v>
      </c>
    </row>
    <row r="691" spans="1:9">
      <c r="A691" s="1" t="s">
        <v>689</v>
      </c>
      <c r="B691" s="3" t="str">
        <f ca="1">IFERROR(__xludf.DUMMYFUNCTION("SPLIT(A691,"","")"),"US")</f>
        <v>US</v>
      </c>
      <c r="C691" s="3" t="str">
        <f ca="1">IFERROR(__xludf.DUMMYFUNCTION("""COMPUTED_VALUE"""),"Hodges University")</f>
        <v>Hodges University</v>
      </c>
      <c r="D691" s="4" t="str">
        <f ca="1">IFERROR(__xludf.DUMMYFUNCTION("""COMPUTED_VALUE"""),"http://www.hodges.edu/")</f>
        <v>http://www.hodges.edu/</v>
      </c>
      <c r="G691" s="2" t="str">
        <f t="shared" ca="1" si="0"/>
        <v>Hodges University</v>
      </c>
      <c r="H691" s="5" t="str">
        <f t="shared" ca="1" si="1"/>
        <v>Hodges University</v>
      </c>
      <c r="I691" s="3" t="str">
        <f t="shared" ca="1" si="2"/>
        <v>'Hodges University',</v>
      </c>
    </row>
    <row r="692" spans="1:9">
      <c r="A692" s="1" t="s">
        <v>690</v>
      </c>
      <c r="B692" s="3" t="str">
        <f ca="1">IFERROR(__xludf.DUMMYFUNCTION("SPLIT(A692,"","")"),"US")</f>
        <v>US</v>
      </c>
      <c r="C692" s="3" t="str">
        <f ca="1">IFERROR(__xludf.DUMMYFUNCTION("""COMPUTED_VALUE"""),"Hofstra University")</f>
        <v>Hofstra University</v>
      </c>
      <c r="D692" s="4" t="str">
        <f ca="1">IFERROR(__xludf.DUMMYFUNCTION("""COMPUTED_VALUE"""),"http://www.hofstra.edu/")</f>
        <v>http://www.hofstra.edu/</v>
      </c>
      <c r="G692" s="2" t="str">
        <f t="shared" ca="1" si="0"/>
        <v>Hofstra University</v>
      </c>
      <c r="H692" s="5" t="str">
        <f t="shared" ca="1" si="1"/>
        <v>Hofstra University</v>
      </c>
      <c r="I692" s="3" t="str">
        <f t="shared" ca="1" si="2"/>
        <v>'Hofstra University',</v>
      </c>
    </row>
    <row r="693" spans="1:9">
      <c r="A693" s="1" t="s">
        <v>691</v>
      </c>
      <c r="B693" s="3" t="str">
        <f ca="1">IFERROR(__xludf.DUMMYFUNCTION("SPLIT(A693,"","")"),"US")</f>
        <v>US</v>
      </c>
      <c r="C693" s="3" t="str">
        <f ca="1">IFERROR(__xludf.DUMMYFUNCTION("""COMPUTED_VALUE"""),"Hollins University")</f>
        <v>Hollins University</v>
      </c>
      <c r="D693" s="4" t="str">
        <f ca="1">IFERROR(__xludf.DUMMYFUNCTION("""COMPUTED_VALUE"""),"http://www.hollins.edu/")</f>
        <v>http://www.hollins.edu/</v>
      </c>
      <c r="G693" s="2" t="str">
        <f t="shared" ca="1" si="0"/>
        <v>Hollins University</v>
      </c>
      <c r="H693" s="5" t="str">
        <f t="shared" ca="1" si="1"/>
        <v>Hollins University</v>
      </c>
      <c r="I693" s="3" t="str">
        <f t="shared" ca="1" si="2"/>
        <v>'Hollins University',</v>
      </c>
    </row>
    <row r="694" spans="1:9">
      <c r="A694" s="1" t="s">
        <v>692</v>
      </c>
      <c r="B694" s="3" t="str">
        <f ca="1">IFERROR(__xludf.DUMMYFUNCTION("SPLIT(A694,"","")"),"US")</f>
        <v>US</v>
      </c>
      <c r="C694" s="3" t="str">
        <f ca="1">IFERROR(__xludf.DUMMYFUNCTION("""COMPUTED_VALUE"""),"Holy Apostles College")</f>
        <v>Holy Apostles College</v>
      </c>
      <c r="D694" s="4" t="str">
        <f ca="1">IFERROR(__xludf.DUMMYFUNCTION("""COMPUTED_VALUE"""),"http://www.holy-apostles.org/")</f>
        <v>http://www.holy-apostles.org/</v>
      </c>
      <c r="G694" s="2" t="str">
        <f t="shared" ca="1" si="0"/>
        <v>Holy Apostles College</v>
      </c>
      <c r="H694" s="5" t="str">
        <f t="shared" ca="1" si="1"/>
        <v>Holy Apostles College</v>
      </c>
      <c r="I694" s="3" t="str">
        <f t="shared" ca="1" si="2"/>
        <v>'Holy Apostles College',</v>
      </c>
    </row>
    <row r="695" spans="1:9">
      <c r="A695" s="1" t="s">
        <v>693</v>
      </c>
      <c r="B695" s="3" t="str">
        <f ca="1">IFERROR(__xludf.DUMMYFUNCTION("SPLIT(A695,"","")"),"US")</f>
        <v>US</v>
      </c>
      <c r="C695" s="3" t="str">
        <f ca="1">IFERROR(__xludf.DUMMYFUNCTION("""COMPUTED_VALUE"""),"Holy Cross College")</f>
        <v>Holy Cross College</v>
      </c>
      <c r="D695" s="4" t="str">
        <f ca="1">IFERROR(__xludf.DUMMYFUNCTION("""COMPUTED_VALUE"""),"http://www.hcc-nd.edu/")</f>
        <v>http://www.hcc-nd.edu/</v>
      </c>
      <c r="G695" s="2" t="str">
        <f t="shared" ca="1" si="0"/>
        <v>Holy Cross College</v>
      </c>
      <c r="H695" s="5" t="str">
        <f t="shared" ca="1" si="1"/>
        <v>Holy Cross College</v>
      </c>
      <c r="I695" s="3" t="str">
        <f t="shared" ca="1" si="2"/>
        <v>'Holy Cross College',</v>
      </c>
    </row>
    <row r="696" spans="1:9">
      <c r="A696" s="1" t="s">
        <v>694</v>
      </c>
      <c r="B696" s="3" t="str">
        <f ca="1">IFERROR(__xludf.DUMMYFUNCTION("SPLIT(A696,"","")"),"US")</f>
        <v>US</v>
      </c>
      <c r="C696" s="3" t="str">
        <f ca="1">IFERROR(__xludf.DUMMYFUNCTION("""COMPUTED_VALUE"""),"Holy Family College")</f>
        <v>Holy Family College</v>
      </c>
      <c r="D696" s="4" t="str">
        <f ca="1">IFERROR(__xludf.DUMMYFUNCTION("""COMPUTED_VALUE"""),"http://www.hfc.edu/")</f>
        <v>http://www.hfc.edu/</v>
      </c>
      <c r="G696" s="2" t="str">
        <f t="shared" ca="1" si="0"/>
        <v>Holy Family College</v>
      </c>
      <c r="H696" s="5" t="str">
        <f t="shared" ca="1" si="1"/>
        <v>Holy Family College</v>
      </c>
      <c r="I696" s="3" t="str">
        <f t="shared" ca="1" si="2"/>
        <v>'Holy Family College',</v>
      </c>
    </row>
    <row r="697" spans="1:9">
      <c r="A697" s="1" t="s">
        <v>695</v>
      </c>
      <c r="B697" s="3" t="str">
        <f ca="1">IFERROR(__xludf.DUMMYFUNCTION("SPLIT(A697,"","")"),"US")</f>
        <v>US</v>
      </c>
      <c r="C697" s="3" t="str">
        <f ca="1">IFERROR(__xludf.DUMMYFUNCTION("""COMPUTED_VALUE"""),"Holy Names College")</f>
        <v>Holy Names College</v>
      </c>
      <c r="D697" s="4" t="str">
        <f ca="1">IFERROR(__xludf.DUMMYFUNCTION("""COMPUTED_VALUE"""),"http://www.hnc.edu/")</f>
        <v>http://www.hnc.edu/</v>
      </c>
      <c r="G697" s="2" t="str">
        <f t="shared" ca="1" si="0"/>
        <v>Holy Names College</v>
      </c>
      <c r="H697" s="5" t="str">
        <f t="shared" ca="1" si="1"/>
        <v>Holy Names College</v>
      </c>
      <c r="I697" s="3" t="str">
        <f t="shared" ca="1" si="2"/>
        <v>'Holy Names College',</v>
      </c>
    </row>
    <row r="698" spans="1:9">
      <c r="A698" s="1" t="s">
        <v>696</v>
      </c>
      <c r="B698" s="3" t="str">
        <f ca="1">IFERROR(__xludf.DUMMYFUNCTION("SPLIT(A698,"","")"),"US")</f>
        <v>US</v>
      </c>
      <c r="C698" s="3" t="str">
        <f ca="1">IFERROR(__xludf.DUMMYFUNCTION("""COMPUTED_VALUE"""),"Hood College")</f>
        <v>Hood College</v>
      </c>
      <c r="D698" s="4" t="str">
        <f ca="1">IFERROR(__xludf.DUMMYFUNCTION("""COMPUTED_VALUE"""),"http://www.hood.edu/")</f>
        <v>http://www.hood.edu/</v>
      </c>
      <c r="G698" s="2" t="str">
        <f t="shared" ca="1" si="0"/>
        <v>Hood College</v>
      </c>
      <c r="H698" s="5" t="str">
        <f t="shared" ca="1" si="1"/>
        <v>Hood College</v>
      </c>
      <c r="I698" s="3" t="str">
        <f t="shared" ca="1" si="2"/>
        <v>'Hood College',</v>
      </c>
    </row>
    <row r="699" spans="1:9">
      <c r="A699" s="1" t="s">
        <v>697</v>
      </c>
      <c r="B699" s="3" t="str">
        <f ca="1">IFERROR(__xludf.DUMMYFUNCTION("SPLIT(A699,"","")"),"US")</f>
        <v>US</v>
      </c>
      <c r="C699" s="3" t="str">
        <f ca="1">IFERROR(__xludf.DUMMYFUNCTION("""COMPUTED_VALUE"""),"Hope College")</f>
        <v>Hope College</v>
      </c>
      <c r="D699" s="4" t="str">
        <f ca="1">IFERROR(__xludf.DUMMYFUNCTION("""COMPUTED_VALUE"""),"http://www.hope.edu/")</f>
        <v>http://www.hope.edu/</v>
      </c>
      <c r="G699" s="2" t="str">
        <f t="shared" ca="1" si="0"/>
        <v>Hope College</v>
      </c>
      <c r="H699" s="5" t="str">
        <f t="shared" ca="1" si="1"/>
        <v>Hope College</v>
      </c>
      <c r="I699" s="3" t="str">
        <f t="shared" ca="1" si="2"/>
        <v>'Hope College',</v>
      </c>
    </row>
    <row r="700" spans="1:9">
      <c r="A700" s="1" t="s">
        <v>698</v>
      </c>
      <c r="B700" s="3" t="str">
        <f ca="1">IFERROR(__xludf.DUMMYFUNCTION("SPLIT(A700,"","")"),"US")</f>
        <v>US</v>
      </c>
      <c r="C700" s="3" t="str">
        <f ca="1">IFERROR(__xludf.DUMMYFUNCTION("""COMPUTED_VALUE"""),"Hope International University")</f>
        <v>Hope International University</v>
      </c>
      <c r="D700" s="4" t="str">
        <f ca="1">IFERROR(__xludf.DUMMYFUNCTION("""COMPUTED_VALUE"""),"http://www.hiu.edu/")</f>
        <v>http://www.hiu.edu/</v>
      </c>
      <c r="G700" s="2" t="str">
        <f t="shared" ca="1" si="0"/>
        <v>Hope International University</v>
      </c>
      <c r="H700" s="5" t="str">
        <f t="shared" ca="1" si="1"/>
        <v>Hope International University</v>
      </c>
      <c r="I700" s="3" t="str">
        <f t="shared" ca="1" si="2"/>
        <v>'Hope International University',</v>
      </c>
    </row>
    <row r="701" spans="1:9">
      <c r="A701" s="1" t="s">
        <v>699</v>
      </c>
      <c r="B701" s="3" t="str">
        <f ca="1">IFERROR(__xludf.DUMMYFUNCTION("SPLIT(A701,"","")"),"US")</f>
        <v>US</v>
      </c>
      <c r="C701" s="3" t="str">
        <f ca="1">IFERROR(__xludf.DUMMYFUNCTION("""COMPUTED_VALUE"""),"Houghton College")</f>
        <v>Houghton College</v>
      </c>
      <c r="D701" s="4" t="str">
        <f ca="1">IFERROR(__xludf.DUMMYFUNCTION("""COMPUTED_VALUE"""),"http://www.houghton.edu/")</f>
        <v>http://www.houghton.edu/</v>
      </c>
      <c r="G701" s="2" t="str">
        <f t="shared" ca="1" si="0"/>
        <v>Houghton College</v>
      </c>
      <c r="H701" s="5" t="str">
        <f t="shared" ca="1" si="1"/>
        <v>Houghton College</v>
      </c>
      <c r="I701" s="3" t="str">
        <f t="shared" ca="1" si="2"/>
        <v>'Houghton College',</v>
      </c>
    </row>
    <row r="702" spans="1:9">
      <c r="A702" s="1" t="s">
        <v>700</v>
      </c>
      <c r="B702" s="3" t="str">
        <f ca="1">IFERROR(__xludf.DUMMYFUNCTION("SPLIT(A702,"","")"),"US")</f>
        <v>US</v>
      </c>
      <c r="C702" s="3" t="str">
        <f ca="1">IFERROR(__xludf.DUMMYFUNCTION("""COMPUTED_VALUE"""),"Houston Baptist University")</f>
        <v>Houston Baptist University</v>
      </c>
      <c r="D702" s="4" t="str">
        <f ca="1">IFERROR(__xludf.DUMMYFUNCTION("""COMPUTED_VALUE"""),"http://www.hbu.edu/")</f>
        <v>http://www.hbu.edu/</v>
      </c>
      <c r="G702" s="2" t="str">
        <f t="shared" ca="1" si="0"/>
        <v>Houston Baptist University</v>
      </c>
      <c r="H702" s="5" t="str">
        <f t="shared" ca="1" si="1"/>
        <v>Houston Baptist University</v>
      </c>
      <c r="I702" s="3" t="str">
        <f t="shared" ca="1" si="2"/>
        <v>'Houston Baptist University',</v>
      </c>
    </row>
    <row r="703" spans="1:9">
      <c r="A703" s="1" t="s">
        <v>701</v>
      </c>
      <c r="B703" s="3" t="str">
        <f ca="1">IFERROR(__xludf.DUMMYFUNCTION("SPLIT(A703,"","")"),"US")</f>
        <v>US</v>
      </c>
      <c r="C703" s="3" t="str">
        <f ca="1">IFERROR(__xludf.DUMMYFUNCTION("""COMPUTED_VALUE"""),"Howard Payne University")</f>
        <v>Howard Payne University</v>
      </c>
      <c r="D703" s="4" t="str">
        <f ca="1">IFERROR(__xludf.DUMMYFUNCTION("""COMPUTED_VALUE"""),"http://www.hputx.edu/")</f>
        <v>http://www.hputx.edu/</v>
      </c>
      <c r="G703" s="2" t="str">
        <f t="shared" ca="1" si="0"/>
        <v>Howard Payne University</v>
      </c>
      <c r="H703" s="5" t="str">
        <f t="shared" ca="1" si="1"/>
        <v>Howard Payne University</v>
      </c>
      <c r="I703" s="3" t="str">
        <f t="shared" ca="1" si="2"/>
        <v>'Howard Payne University',</v>
      </c>
    </row>
    <row r="704" spans="1:9">
      <c r="A704" s="1" t="s">
        <v>702</v>
      </c>
      <c r="B704" s="3" t="str">
        <f ca="1">IFERROR(__xludf.DUMMYFUNCTION("SPLIT(A704,"","")"),"US")</f>
        <v>US</v>
      </c>
      <c r="C704" s="3" t="str">
        <f ca="1">IFERROR(__xludf.DUMMYFUNCTION("""COMPUTED_VALUE"""),"Howard University")</f>
        <v>Howard University</v>
      </c>
      <c r="D704" s="4" t="str">
        <f ca="1">IFERROR(__xludf.DUMMYFUNCTION("""COMPUTED_VALUE"""),"http://www.howard.edu/")</f>
        <v>http://www.howard.edu/</v>
      </c>
      <c r="G704" s="2" t="str">
        <f t="shared" ca="1" si="0"/>
        <v>Howard University</v>
      </c>
      <c r="H704" s="5" t="str">
        <f t="shared" ca="1" si="1"/>
        <v>Howard University</v>
      </c>
      <c r="I704" s="3" t="str">
        <f t="shared" ca="1" si="2"/>
        <v>'Howard University',</v>
      </c>
    </row>
    <row r="705" spans="1:9">
      <c r="A705" s="1" t="s">
        <v>703</v>
      </c>
      <c r="B705" s="3" t="str">
        <f ca="1">IFERROR(__xludf.DUMMYFUNCTION("SPLIT(A705,"","")"),"US")</f>
        <v>US</v>
      </c>
      <c r="C705" s="3" t="str">
        <f ca="1">IFERROR(__xludf.DUMMYFUNCTION("""COMPUTED_VALUE"""),"Humboldt State University")</f>
        <v>Humboldt State University</v>
      </c>
      <c r="D705" s="4" t="str">
        <f ca="1">IFERROR(__xludf.DUMMYFUNCTION("""COMPUTED_VALUE"""),"http://www.humboldt.edu/")</f>
        <v>http://www.humboldt.edu/</v>
      </c>
      <c r="G705" s="2" t="str">
        <f t="shared" ca="1" si="0"/>
        <v>Humboldt State University</v>
      </c>
      <c r="H705" s="5" t="str">
        <f t="shared" ca="1" si="1"/>
        <v>Humboldt State University</v>
      </c>
      <c r="I705" s="3" t="str">
        <f t="shared" ca="1" si="2"/>
        <v>'Humboldt State University',</v>
      </c>
    </row>
    <row r="706" spans="1:9">
      <c r="A706" s="1" t="s">
        <v>704</v>
      </c>
      <c r="B706" s="3" t="str">
        <f ca="1">IFERROR(__xludf.DUMMYFUNCTION("SPLIT(A706,"","")"),"US")</f>
        <v>US</v>
      </c>
      <c r="C706" s="3" t="str">
        <f ca="1">IFERROR(__xludf.DUMMYFUNCTION("""COMPUTED_VALUE"""),"Humphreys College")</f>
        <v>Humphreys College</v>
      </c>
      <c r="D706" s="4" t="str">
        <f ca="1">IFERROR(__xludf.DUMMYFUNCTION("""COMPUTED_VALUE"""),"http://www.humphreys.edu/")</f>
        <v>http://www.humphreys.edu/</v>
      </c>
      <c r="G706" s="2" t="str">
        <f t="shared" ca="1" si="0"/>
        <v>Humphreys College</v>
      </c>
      <c r="H706" s="5" t="str">
        <f t="shared" ca="1" si="1"/>
        <v>Humphreys College</v>
      </c>
      <c r="I706" s="3" t="str">
        <f t="shared" ca="1" si="2"/>
        <v>'Humphreys College',</v>
      </c>
    </row>
    <row r="707" spans="1:9">
      <c r="A707" s="1" t="s">
        <v>705</v>
      </c>
      <c r="B707" s="3" t="str">
        <f ca="1">IFERROR(__xludf.DUMMYFUNCTION("SPLIT(A707,"","")"),"US")</f>
        <v>US</v>
      </c>
      <c r="C707" s="3" t="str">
        <f ca="1">IFERROR(__xludf.DUMMYFUNCTION("""COMPUTED_VALUE"""),"Huntington College")</f>
        <v>Huntington College</v>
      </c>
      <c r="D707" s="4" t="str">
        <f ca="1">IFERROR(__xludf.DUMMYFUNCTION("""COMPUTED_VALUE"""),"http://www.huntcol.edu/")</f>
        <v>http://www.huntcol.edu/</v>
      </c>
      <c r="G707" s="2" t="str">
        <f t="shared" ca="1" si="0"/>
        <v>Huntington College</v>
      </c>
      <c r="H707" s="5" t="str">
        <f t="shared" ca="1" si="1"/>
        <v>Huntington College</v>
      </c>
      <c r="I707" s="3" t="str">
        <f t="shared" ca="1" si="2"/>
        <v>'Huntington College',</v>
      </c>
    </row>
    <row r="708" spans="1:9">
      <c r="A708" s="1" t="s">
        <v>706</v>
      </c>
      <c r="B708" s="3" t="str">
        <f ca="1">IFERROR(__xludf.DUMMYFUNCTION("SPLIT(A708,"","")"),"US")</f>
        <v>US</v>
      </c>
      <c r="C708" s="3" t="str">
        <f ca="1">IFERROR(__xludf.DUMMYFUNCTION("""COMPUTED_VALUE"""),"Huron University")</f>
        <v>Huron University</v>
      </c>
      <c r="D708" s="4" t="str">
        <f ca="1">IFERROR(__xludf.DUMMYFUNCTION("""COMPUTED_VALUE"""),"http://www.huron.edu/")</f>
        <v>http://www.huron.edu/</v>
      </c>
      <c r="G708" s="2" t="str">
        <f t="shared" ca="1" si="0"/>
        <v>Huron University</v>
      </c>
      <c r="H708" s="5" t="str">
        <f t="shared" ca="1" si="1"/>
        <v>Huron University</v>
      </c>
      <c r="I708" s="3" t="str">
        <f t="shared" ca="1" si="2"/>
        <v>'Huron University',</v>
      </c>
    </row>
    <row r="709" spans="1:9">
      <c r="A709" s="1" t="s">
        <v>707</v>
      </c>
      <c r="B709" s="3" t="str">
        <f ca="1">IFERROR(__xludf.DUMMYFUNCTION("SPLIT(A709,"","")"),"US")</f>
        <v>US</v>
      </c>
      <c r="C709" s="3" t="str">
        <f ca="1">IFERROR(__xludf.DUMMYFUNCTION("""COMPUTED_VALUE"""),"Husson College")</f>
        <v>Husson College</v>
      </c>
      <c r="D709" s="4" t="str">
        <f ca="1">IFERROR(__xludf.DUMMYFUNCTION("""COMPUTED_VALUE"""),"http://www.husson.edu/")</f>
        <v>http://www.husson.edu/</v>
      </c>
      <c r="G709" s="2" t="str">
        <f t="shared" ca="1" si="0"/>
        <v>Husson College</v>
      </c>
      <c r="H709" s="5" t="str">
        <f t="shared" ca="1" si="1"/>
        <v>Husson College</v>
      </c>
      <c r="I709" s="3" t="str">
        <f t="shared" ca="1" si="2"/>
        <v>'Husson College',</v>
      </c>
    </row>
    <row r="710" spans="1:9">
      <c r="A710" s="1" t="s">
        <v>708</v>
      </c>
      <c r="B710" s="3" t="str">
        <f ca="1">IFERROR(__xludf.DUMMYFUNCTION("SPLIT(A710,"","")"),"US")</f>
        <v>US</v>
      </c>
      <c r="C710" s="3" t="str">
        <f ca="1">IFERROR(__xludf.DUMMYFUNCTION("""COMPUTED_VALUE"""),"Huston-Tillotson College")</f>
        <v>Huston-Tillotson College</v>
      </c>
      <c r="D710" s="4" t="str">
        <f ca="1">IFERROR(__xludf.DUMMYFUNCTION("""COMPUTED_VALUE"""),"http://www.htc.edu/")</f>
        <v>http://www.htc.edu/</v>
      </c>
      <c r="G710" s="2" t="str">
        <f t="shared" ca="1" si="0"/>
        <v>Huston-Tillotson College</v>
      </c>
      <c r="H710" s="5" t="str">
        <f t="shared" ca="1" si="1"/>
        <v>Huston-Tillotson College</v>
      </c>
      <c r="I710" s="3" t="str">
        <f t="shared" ca="1" si="2"/>
        <v>'Huston-Tillotson College',</v>
      </c>
    </row>
    <row r="711" spans="1:9">
      <c r="A711" s="1" t="s">
        <v>709</v>
      </c>
      <c r="B711" s="3" t="str">
        <f ca="1">IFERROR(__xludf.DUMMYFUNCTION("SPLIT(A711,"","")"),"US")</f>
        <v>US</v>
      </c>
      <c r="C711" s="3" t="str">
        <f ca="1">IFERROR(__xludf.DUMMYFUNCTION("""COMPUTED_VALUE"""),"ICI University")</f>
        <v>ICI University</v>
      </c>
      <c r="D711" s="4" t="str">
        <f ca="1">IFERROR(__xludf.DUMMYFUNCTION("""COMPUTED_VALUE"""),"http://www.ici.edu/")</f>
        <v>http://www.ici.edu/</v>
      </c>
      <c r="G711" s="2" t="str">
        <f t="shared" ca="1" si="0"/>
        <v>ICI University</v>
      </c>
      <c r="H711" s="5" t="str">
        <f t="shared" ca="1" si="1"/>
        <v>ICI University</v>
      </c>
      <c r="I711" s="3" t="str">
        <f t="shared" ca="1" si="2"/>
        <v>'ICI University',</v>
      </c>
    </row>
    <row r="712" spans="1:9">
      <c r="A712" s="1" t="s">
        <v>710</v>
      </c>
      <c r="B712" s="3" t="str">
        <f ca="1">IFERROR(__xludf.DUMMYFUNCTION("SPLIT(A712,"","")"),"US")</f>
        <v>US</v>
      </c>
      <c r="C712" s="3" t="str">
        <f ca="1">IFERROR(__xludf.DUMMYFUNCTION("""COMPUTED_VALUE"""),"ICT College")</f>
        <v>ICT College</v>
      </c>
      <c r="D712" s="4" t="str">
        <f ca="1">IFERROR(__xludf.DUMMYFUNCTION("""COMPUTED_VALUE"""),"http://www.ictcollege.edu/")</f>
        <v>http://www.ictcollege.edu/</v>
      </c>
      <c r="G712" s="2" t="str">
        <f t="shared" ca="1" si="0"/>
        <v>ICT College</v>
      </c>
      <c r="H712" s="5" t="str">
        <f t="shared" ca="1" si="1"/>
        <v>ICT College</v>
      </c>
      <c r="I712" s="3" t="str">
        <f t="shared" ca="1" si="2"/>
        <v>'ICT College',</v>
      </c>
    </row>
    <row r="713" spans="1:9">
      <c r="A713" s="1" t="s">
        <v>711</v>
      </c>
      <c r="B713" s="3" t="str">
        <f ca="1">IFERROR(__xludf.DUMMYFUNCTION("SPLIT(A713,"","")"),"US")</f>
        <v>US</v>
      </c>
      <c r="C713" s="3" t="str">
        <f ca="1">IFERROR(__xludf.DUMMYFUNCTION("""COMPUTED_VALUE"""),"Idaho State University")</f>
        <v>Idaho State University</v>
      </c>
      <c r="D713" s="4" t="str">
        <f ca="1">IFERROR(__xludf.DUMMYFUNCTION("""COMPUTED_VALUE"""),"http://www.isu.edu/")</f>
        <v>http://www.isu.edu/</v>
      </c>
      <c r="G713" s="2" t="str">
        <f t="shared" ca="1" si="0"/>
        <v>Idaho State University</v>
      </c>
      <c r="H713" s="5" t="str">
        <f t="shared" ca="1" si="1"/>
        <v>Idaho State University</v>
      </c>
      <c r="I713" s="3" t="str">
        <f t="shared" ca="1" si="2"/>
        <v>'Idaho State University',</v>
      </c>
    </row>
    <row r="714" spans="1:9">
      <c r="A714" s="1" t="s">
        <v>712</v>
      </c>
      <c r="B714" s="3" t="str">
        <f ca="1">IFERROR(__xludf.DUMMYFUNCTION("SPLIT(A714,"","")"),"US")</f>
        <v>US</v>
      </c>
      <c r="C714" s="3" t="str">
        <f ca="1">IFERROR(__xludf.DUMMYFUNCTION("""COMPUTED_VALUE"""),"Iglobal University")</f>
        <v>Iglobal University</v>
      </c>
      <c r="D714" s="4" t="str">
        <f ca="1">IFERROR(__xludf.DUMMYFUNCTION("""COMPUTED_VALUE"""),"http://www.iglobal.edu/")</f>
        <v>http://www.iglobal.edu/</v>
      </c>
      <c r="G714" s="2" t="str">
        <f t="shared" ca="1" si="0"/>
        <v>Iglobal University</v>
      </c>
      <c r="H714" s="5" t="str">
        <f t="shared" ca="1" si="1"/>
        <v>Iglobal University</v>
      </c>
      <c r="I714" s="3" t="str">
        <f t="shared" ca="1" si="2"/>
        <v>'Iglobal University',</v>
      </c>
    </row>
    <row r="715" spans="1:9">
      <c r="A715" s="1" t="s">
        <v>713</v>
      </c>
      <c r="B715" s="3" t="str">
        <f ca="1">IFERROR(__xludf.DUMMYFUNCTION("SPLIT(A715,"","")"),"US")</f>
        <v>US</v>
      </c>
      <c r="C715" s="3" t="str">
        <f ca="1">IFERROR(__xludf.DUMMYFUNCTION("""COMPUTED_VALUE"""),"Illinois Benedictine University")</f>
        <v>Illinois Benedictine University</v>
      </c>
      <c r="D715" s="4" t="str">
        <f ca="1">IFERROR(__xludf.DUMMYFUNCTION("""COMPUTED_VALUE"""),"http://www.ben.edu/")</f>
        <v>http://www.ben.edu/</v>
      </c>
      <c r="G715" s="2" t="str">
        <f t="shared" ca="1" si="0"/>
        <v>Illinois Benedictine University</v>
      </c>
      <c r="H715" s="5" t="str">
        <f t="shared" ca="1" si="1"/>
        <v>Illinois Benedictine University</v>
      </c>
      <c r="I715" s="3" t="str">
        <f t="shared" ca="1" si="2"/>
        <v>'Illinois Benedictine University',</v>
      </c>
    </row>
    <row r="716" spans="1:9">
      <c r="A716" s="1" t="s">
        <v>714</v>
      </c>
      <c r="B716" s="3" t="str">
        <f ca="1">IFERROR(__xludf.DUMMYFUNCTION("SPLIT(A716,"","")"),"US")</f>
        <v>US</v>
      </c>
      <c r="C716" s="3" t="str">
        <f ca="1">IFERROR(__xludf.DUMMYFUNCTION("""COMPUTED_VALUE"""),"Illinois College")</f>
        <v>Illinois College</v>
      </c>
      <c r="D716" s="4" t="str">
        <f ca="1">IFERROR(__xludf.DUMMYFUNCTION("""COMPUTED_VALUE"""),"http://www.ic.edu/")</f>
        <v>http://www.ic.edu/</v>
      </c>
      <c r="G716" s="2" t="str">
        <f t="shared" ca="1" si="0"/>
        <v>Illinois College</v>
      </c>
      <c r="H716" s="5" t="str">
        <f t="shared" ca="1" si="1"/>
        <v>Illinois College</v>
      </c>
      <c r="I716" s="3" t="str">
        <f t="shared" ca="1" si="2"/>
        <v>'Illinois College',</v>
      </c>
    </row>
    <row r="717" spans="1:9">
      <c r="A717" s="1" t="s">
        <v>715</v>
      </c>
      <c r="B717" s="3" t="str">
        <f ca="1">IFERROR(__xludf.DUMMYFUNCTION("SPLIT(A717,"","")"),"US")</f>
        <v>US</v>
      </c>
      <c r="C717" s="3" t="str">
        <f ca="1">IFERROR(__xludf.DUMMYFUNCTION("""COMPUTED_VALUE"""),"Illinois College of Optometry")</f>
        <v>Illinois College of Optometry</v>
      </c>
      <c r="D717" s="4" t="str">
        <f ca="1">IFERROR(__xludf.DUMMYFUNCTION("""COMPUTED_VALUE"""),"http://www.ico.edu/")</f>
        <v>http://www.ico.edu/</v>
      </c>
      <c r="G717" s="2" t="str">
        <f t="shared" ca="1" si="0"/>
        <v>Illinois College of Optometry</v>
      </c>
      <c r="H717" s="5" t="str">
        <f t="shared" ca="1" si="1"/>
        <v>Illinois College of Optometry</v>
      </c>
      <c r="I717" s="3" t="str">
        <f t="shared" ca="1" si="2"/>
        <v>'Illinois College of Optometry',</v>
      </c>
    </row>
    <row r="718" spans="1:9">
      <c r="A718" s="1" t="s">
        <v>716</v>
      </c>
      <c r="B718" s="3" t="str">
        <f ca="1">IFERROR(__xludf.DUMMYFUNCTION("SPLIT(A718,"","")"),"US")</f>
        <v>US</v>
      </c>
      <c r="C718" s="3" t="str">
        <f ca="1">IFERROR(__xludf.DUMMYFUNCTION("""COMPUTED_VALUE"""),"Illinois Institute of Technology")</f>
        <v>Illinois Institute of Technology</v>
      </c>
      <c r="D718" s="4" t="str">
        <f ca="1">IFERROR(__xludf.DUMMYFUNCTION("""COMPUTED_VALUE"""),"http://www.iit.edu/")</f>
        <v>http://www.iit.edu/</v>
      </c>
      <c r="G718" s="2" t="str">
        <f t="shared" ca="1" si="0"/>
        <v>Illinois Institute of Technology</v>
      </c>
      <c r="H718" s="5" t="str">
        <f t="shared" ca="1" si="1"/>
        <v>Illinois Institute of Technology</v>
      </c>
      <c r="I718" s="3" t="str">
        <f t="shared" ca="1" si="2"/>
        <v>'Illinois Institute of Technology',</v>
      </c>
    </row>
    <row r="719" spans="1:9">
      <c r="A719" s="1" t="s">
        <v>717</v>
      </c>
      <c r="B719" s="3" t="str">
        <f ca="1">IFERROR(__xludf.DUMMYFUNCTION("SPLIT(A719,"","")"),"US")</f>
        <v>US</v>
      </c>
      <c r="C719" s="3" t="str">
        <f ca="1">IFERROR(__xludf.DUMMYFUNCTION("""COMPUTED_VALUE"""),"Illinois School of Professional Psychology - Chicago Campus")</f>
        <v>Illinois School of Professional Psychology - Chicago Campus</v>
      </c>
      <c r="D719" s="4" t="str">
        <f ca="1">IFERROR(__xludf.DUMMYFUNCTION("""COMPUTED_VALUE"""),"http://www.aspp.edu/ilch.html")</f>
        <v>http://www.aspp.edu/ilch.html</v>
      </c>
      <c r="G719" s="2" t="str">
        <f t="shared" ca="1" si="0"/>
        <v>Illinois School of Professional Psychology - Chicago Campus</v>
      </c>
      <c r="H719" s="5" t="str">
        <f t="shared" ca="1" si="1"/>
        <v>Illinois School of Professional Psychology - Chicago Campus</v>
      </c>
      <c r="I719" s="3" t="str">
        <f t="shared" ca="1" si="2"/>
        <v>'Illinois School of Professional Psychology - Chicago Campus',</v>
      </c>
    </row>
    <row r="720" spans="1:9">
      <c r="A720" s="1" t="s">
        <v>718</v>
      </c>
      <c r="B720" s="3" t="str">
        <f ca="1">IFERROR(__xludf.DUMMYFUNCTION("SPLIT(A720,"","")"),"US")</f>
        <v>US</v>
      </c>
      <c r="C720" s="3" t="str">
        <f ca="1">IFERROR(__xludf.DUMMYFUNCTION("""COMPUTED_VALUE"""),"Illinois School of Professional Psychology - Meadows Campus")</f>
        <v>Illinois School of Professional Psychology - Meadows Campus</v>
      </c>
      <c r="D720" s="4" t="str">
        <f ca="1">IFERROR(__xludf.DUMMYFUNCTION("""COMPUTED_VALUE"""),"http://www.aspp.edu/ilrm.html")</f>
        <v>http://www.aspp.edu/ilrm.html</v>
      </c>
      <c r="G720" s="2" t="str">
        <f t="shared" ca="1" si="0"/>
        <v>Illinois School of Professional Psychology - Meadows Campus</v>
      </c>
      <c r="H720" s="5" t="str">
        <f t="shared" ca="1" si="1"/>
        <v>Illinois School of Professional Psychology - Meadows Campus</v>
      </c>
      <c r="I720" s="3" t="str">
        <f t="shared" ca="1" si="2"/>
        <v>'Illinois School of Professional Psychology - Meadows Campus',</v>
      </c>
    </row>
    <row r="721" spans="1:9">
      <c r="A721" s="1" t="s">
        <v>719</v>
      </c>
      <c r="B721" s="3" t="str">
        <f ca="1">IFERROR(__xludf.DUMMYFUNCTION("SPLIT(A721,"","")"),"US")</f>
        <v>US</v>
      </c>
      <c r="C721" s="3" t="str">
        <f ca="1">IFERROR(__xludf.DUMMYFUNCTION("""COMPUTED_VALUE"""),"Illinois State University")</f>
        <v>Illinois State University</v>
      </c>
      <c r="D721" s="4" t="str">
        <f ca="1">IFERROR(__xludf.DUMMYFUNCTION("""COMPUTED_VALUE"""),"http://www.ilstu.edu/")</f>
        <v>http://www.ilstu.edu/</v>
      </c>
      <c r="G721" s="2" t="str">
        <f t="shared" ca="1" si="0"/>
        <v>Illinois State University</v>
      </c>
      <c r="H721" s="5" t="str">
        <f t="shared" ca="1" si="1"/>
        <v>Illinois State University</v>
      </c>
      <c r="I721" s="3" t="str">
        <f t="shared" ca="1" si="2"/>
        <v>'Illinois State University',</v>
      </c>
    </row>
    <row r="722" spans="1:9">
      <c r="A722" s="1" t="s">
        <v>720</v>
      </c>
      <c r="B722" s="3" t="str">
        <f ca="1">IFERROR(__xludf.DUMMYFUNCTION("SPLIT(A722,"","")"),"US")</f>
        <v>US</v>
      </c>
      <c r="C722" s="3" t="str">
        <f ca="1">IFERROR(__xludf.DUMMYFUNCTION("""COMPUTED_VALUE"""),"Illinois Valley Community College")</f>
        <v>Illinois Valley Community College</v>
      </c>
      <c r="D722" s="4" t="str">
        <f ca="1">IFERROR(__xludf.DUMMYFUNCTION("""COMPUTED_VALUE"""),"http://www.ivcc.edu/")</f>
        <v>http://www.ivcc.edu/</v>
      </c>
      <c r="G722" s="2" t="str">
        <f t="shared" ca="1" si="0"/>
        <v>Illinois Valley Community College</v>
      </c>
      <c r="H722" s="5" t="str">
        <f t="shared" ca="1" si="1"/>
        <v>Illinois Valley Community College</v>
      </c>
      <c r="I722" s="3" t="str">
        <f t="shared" ca="1" si="2"/>
        <v>'Illinois Valley Community College',</v>
      </c>
    </row>
    <row r="723" spans="1:9">
      <c r="A723" s="1" t="s">
        <v>721</v>
      </c>
      <c r="B723" s="3" t="str">
        <f ca="1">IFERROR(__xludf.DUMMYFUNCTION("SPLIT(A723,"","")"),"US")</f>
        <v>US</v>
      </c>
      <c r="C723" s="3" t="str">
        <f ca="1">IFERROR(__xludf.DUMMYFUNCTION("""COMPUTED_VALUE"""),"Illinois Wesleyan University")</f>
        <v>Illinois Wesleyan University</v>
      </c>
      <c r="D723" s="4" t="str">
        <f ca="1">IFERROR(__xludf.DUMMYFUNCTION("""COMPUTED_VALUE"""),"http://www.iwu.edu/")</f>
        <v>http://www.iwu.edu/</v>
      </c>
      <c r="G723" s="2" t="str">
        <f t="shared" ca="1" si="0"/>
        <v>Illinois Wesleyan University</v>
      </c>
      <c r="H723" s="5" t="str">
        <f t="shared" ca="1" si="1"/>
        <v>Illinois Wesleyan University</v>
      </c>
      <c r="I723" s="3" t="str">
        <f t="shared" ca="1" si="2"/>
        <v>'Illinois Wesleyan University',</v>
      </c>
    </row>
    <row r="724" spans="1:9">
      <c r="A724" s="1" t="s">
        <v>722</v>
      </c>
      <c r="B724" s="3" t="str">
        <f ca="1">IFERROR(__xludf.DUMMYFUNCTION("SPLIT(A724,"","")"),"US")</f>
        <v>US</v>
      </c>
      <c r="C724" s="3" t="str">
        <f ca="1">IFERROR(__xludf.DUMMYFUNCTION("""COMPUTED_VALUE"""),"Immaculata University")</f>
        <v>Immaculata University</v>
      </c>
      <c r="D724" s="4" t="str">
        <f ca="1">IFERROR(__xludf.DUMMYFUNCTION("""COMPUTED_VALUE"""),"http://www.immaculata.edu/")</f>
        <v>http://www.immaculata.edu/</v>
      </c>
      <c r="G724" s="2" t="str">
        <f t="shared" ca="1" si="0"/>
        <v>Immaculata University</v>
      </c>
      <c r="H724" s="5" t="str">
        <f t="shared" ca="1" si="1"/>
        <v>Immaculata University</v>
      </c>
      <c r="I724" s="3" t="str">
        <f t="shared" ca="1" si="2"/>
        <v>'Immaculata University',</v>
      </c>
    </row>
    <row r="725" spans="1:9">
      <c r="A725" s="1" t="s">
        <v>723</v>
      </c>
      <c r="B725" s="3" t="str">
        <f ca="1">IFERROR(__xludf.DUMMYFUNCTION("SPLIT(A725,"","")"),"US")</f>
        <v>US</v>
      </c>
      <c r="C725" s="3" t="str">
        <f ca="1">IFERROR(__xludf.DUMMYFUNCTION("""COMPUTED_VALUE"""),"IMPAC University")</f>
        <v>IMPAC University</v>
      </c>
      <c r="D725" s="4" t="str">
        <f ca="1">IFERROR(__xludf.DUMMYFUNCTION("""COMPUTED_VALUE"""),"http://www.impacu.edu/")</f>
        <v>http://www.impacu.edu/</v>
      </c>
      <c r="G725" s="2" t="str">
        <f t="shared" ca="1" si="0"/>
        <v>IMPAC University</v>
      </c>
      <c r="H725" s="5" t="str">
        <f t="shared" ca="1" si="1"/>
        <v>IMPAC University</v>
      </c>
      <c r="I725" s="3" t="str">
        <f t="shared" ca="1" si="2"/>
        <v>'IMPAC University',</v>
      </c>
    </row>
    <row r="726" spans="1:9">
      <c r="A726" s="1" t="s">
        <v>724</v>
      </c>
      <c r="B726" s="3" t="str">
        <f ca="1">IFERROR(__xludf.DUMMYFUNCTION("SPLIT(A726,"","")"),"US")</f>
        <v>US</v>
      </c>
      <c r="C726" s="3" t="str">
        <f ca="1">IFERROR(__xludf.DUMMYFUNCTION("""COMPUTED_VALUE"""),"Indiana Institute of Technologyy")</f>
        <v>Indiana Institute of Technologyy</v>
      </c>
      <c r="D726" s="4" t="str">
        <f ca="1">IFERROR(__xludf.DUMMYFUNCTION("""COMPUTED_VALUE"""),"http://www.indtech.edu/")</f>
        <v>http://www.indtech.edu/</v>
      </c>
      <c r="G726" s="2" t="str">
        <f t="shared" ca="1" si="0"/>
        <v>Indiana Institute of Technologyy</v>
      </c>
      <c r="H726" s="5" t="str">
        <f t="shared" ca="1" si="1"/>
        <v>Indiana Institute of Technologyy</v>
      </c>
      <c r="I726" s="3" t="str">
        <f t="shared" ca="1" si="2"/>
        <v>'Indiana Institute of Technologyy',</v>
      </c>
    </row>
    <row r="727" spans="1:9">
      <c r="A727" s="1" t="s">
        <v>725</v>
      </c>
      <c r="B727" s="3" t="str">
        <f ca="1">IFERROR(__xludf.DUMMYFUNCTION("SPLIT(A727,"","")"),"US")</f>
        <v>US</v>
      </c>
      <c r="C727" s="3" t="str">
        <f ca="1">IFERROR(__xludf.DUMMYFUNCTION("""COMPUTED_VALUE"""),"Indiana State University")</f>
        <v>Indiana State University</v>
      </c>
      <c r="D727" s="4" t="str">
        <f ca="1">IFERROR(__xludf.DUMMYFUNCTION("""COMPUTED_VALUE"""),"http://www.indstate.edu/")</f>
        <v>http://www.indstate.edu/</v>
      </c>
      <c r="G727" s="2" t="str">
        <f t="shared" ca="1" si="0"/>
        <v>Indiana State University</v>
      </c>
      <c r="H727" s="5" t="str">
        <f t="shared" ca="1" si="1"/>
        <v>Indiana State University</v>
      </c>
      <c r="I727" s="3" t="str">
        <f t="shared" ca="1" si="2"/>
        <v>'Indiana State University',</v>
      </c>
    </row>
    <row r="728" spans="1:9">
      <c r="A728" s="1" t="s">
        <v>726</v>
      </c>
      <c r="B728" s="3" t="str">
        <f ca="1">IFERROR(__xludf.DUMMYFUNCTION("SPLIT(A728,"","")"),"US")</f>
        <v>US</v>
      </c>
      <c r="C728" s="3" t="str">
        <f ca="1">IFERROR(__xludf.DUMMYFUNCTION("""COMPUTED_VALUE"""),"Indiana University at Bloomington")</f>
        <v>Indiana University at Bloomington</v>
      </c>
      <c r="D728" s="4" t="str">
        <f ca="1">IFERROR(__xludf.DUMMYFUNCTION("""COMPUTED_VALUE"""),"http://www.iub.edu/")</f>
        <v>http://www.iub.edu/</v>
      </c>
      <c r="G728" s="2" t="str">
        <f t="shared" ca="1" si="0"/>
        <v>Indiana University at Bloomington</v>
      </c>
      <c r="H728" s="5" t="str">
        <f t="shared" ca="1" si="1"/>
        <v>Indiana University at Bloomington</v>
      </c>
      <c r="I728" s="3" t="str">
        <f t="shared" ca="1" si="2"/>
        <v>'Indiana University at Bloomington',</v>
      </c>
    </row>
    <row r="729" spans="1:9">
      <c r="A729" s="1" t="s">
        <v>727</v>
      </c>
      <c r="B729" s="3" t="str">
        <f ca="1">IFERROR(__xludf.DUMMYFUNCTION("SPLIT(A729,"","")"),"US")</f>
        <v>US</v>
      </c>
      <c r="C729" s="3" t="str">
        <f ca="1">IFERROR(__xludf.DUMMYFUNCTION("""COMPUTED_VALUE"""),"Indiana University at Kokomo")</f>
        <v>Indiana University at Kokomo</v>
      </c>
      <c r="D729" s="4" t="str">
        <f ca="1">IFERROR(__xludf.DUMMYFUNCTION("""COMPUTED_VALUE"""),"http://www.iuk.edu/")</f>
        <v>http://www.iuk.edu/</v>
      </c>
      <c r="G729" s="2" t="str">
        <f t="shared" ca="1" si="0"/>
        <v>Indiana University at Kokomo</v>
      </c>
      <c r="H729" s="5" t="str">
        <f t="shared" ca="1" si="1"/>
        <v>Indiana University at Kokomo</v>
      </c>
      <c r="I729" s="3" t="str">
        <f t="shared" ca="1" si="2"/>
        <v>'Indiana University at Kokomo',</v>
      </c>
    </row>
    <row r="730" spans="1:9">
      <c r="A730" s="1" t="s">
        <v>728</v>
      </c>
      <c r="B730" s="3" t="str">
        <f ca="1">IFERROR(__xludf.DUMMYFUNCTION("SPLIT(A730,"","")"),"US")</f>
        <v>US</v>
      </c>
      <c r="C730" s="3" t="str">
        <f ca="1">IFERROR(__xludf.DUMMYFUNCTION("""COMPUTED_VALUE"""),"Indiana University at South Bend")</f>
        <v>Indiana University at South Bend</v>
      </c>
      <c r="D730" s="4" t="str">
        <f ca="1">IFERROR(__xludf.DUMMYFUNCTION("""COMPUTED_VALUE"""),"http://www.iusb.edu/")</f>
        <v>http://www.iusb.edu/</v>
      </c>
      <c r="G730" s="2" t="str">
        <f t="shared" ca="1" si="0"/>
        <v>Indiana University at South Bend</v>
      </c>
      <c r="H730" s="5" t="str">
        <f t="shared" ca="1" si="1"/>
        <v>Indiana University at South Bend</v>
      </c>
      <c r="I730" s="3" t="str">
        <f t="shared" ca="1" si="2"/>
        <v>'Indiana University at South Bend',</v>
      </c>
    </row>
    <row r="731" spans="1:9">
      <c r="A731" s="1" t="s">
        <v>729</v>
      </c>
      <c r="B731" s="3" t="str">
        <f ca="1">IFERROR(__xludf.DUMMYFUNCTION("SPLIT(A731,"","")"),"US")</f>
        <v>US</v>
      </c>
      <c r="C731" s="3" t="str">
        <f ca="1">IFERROR(__xludf.DUMMYFUNCTION("""COMPUTED_VALUE"""),"Indiana University - East")</f>
        <v>Indiana University - East</v>
      </c>
      <c r="D731" s="4" t="str">
        <f ca="1">IFERROR(__xludf.DUMMYFUNCTION("""COMPUTED_VALUE"""),"http://www.iue.indiana.edu/")</f>
        <v>http://www.iue.indiana.edu/</v>
      </c>
      <c r="G731" s="2" t="str">
        <f t="shared" ca="1" si="0"/>
        <v>Indiana University - East</v>
      </c>
      <c r="H731" s="5" t="str">
        <f t="shared" ca="1" si="1"/>
        <v>Indiana University - East</v>
      </c>
      <c r="I731" s="3" t="str">
        <f t="shared" ca="1" si="2"/>
        <v>'Indiana University - East',</v>
      </c>
    </row>
    <row r="732" spans="1:9">
      <c r="A732" s="1" t="s">
        <v>730</v>
      </c>
      <c r="B732" s="3" t="str">
        <f ca="1">IFERROR(__xludf.DUMMYFUNCTION("SPLIT(A732,"","")"),"US")</f>
        <v>US</v>
      </c>
      <c r="C732" s="3" t="str">
        <f ca="1">IFERROR(__xludf.DUMMYFUNCTION("""COMPUTED_VALUE"""),"Indiana University - Northwest")</f>
        <v>Indiana University - Northwest</v>
      </c>
      <c r="D732" s="4" t="str">
        <f ca="1">IFERROR(__xludf.DUMMYFUNCTION("""COMPUTED_VALUE"""),"http://www.iun.indiana.edu/")</f>
        <v>http://www.iun.indiana.edu/</v>
      </c>
      <c r="G732" s="2" t="str">
        <f t="shared" ca="1" si="0"/>
        <v>Indiana University - Northwest</v>
      </c>
      <c r="H732" s="5" t="str">
        <f t="shared" ca="1" si="1"/>
        <v>Indiana University - Northwest</v>
      </c>
      <c r="I732" s="3" t="str">
        <f t="shared" ca="1" si="2"/>
        <v>'Indiana University - Northwest',</v>
      </c>
    </row>
    <row r="733" spans="1:9">
      <c r="A733" s="1" t="s">
        <v>731</v>
      </c>
      <c r="B733" s="3" t="str">
        <f ca="1">IFERROR(__xludf.DUMMYFUNCTION("SPLIT(A733,"","")"),"US")</f>
        <v>US</v>
      </c>
      <c r="C733" s="3" t="str">
        <f ca="1">IFERROR(__xludf.DUMMYFUNCTION("""COMPUTED_VALUE"""),"Indiana University of Pennsylvania")</f>
        <v>Indiana University of Pennsylvania</v>
      </c>
      <c r="D733" s="4" t="str">
        <f ca="1">IFERROR(__xludf.DUMMYFUNCTION("""COMPUTED_VALUE"""),"http://www.iup.edu/")</f>
        <v>http://www.iup.edu/</v>
      </c>
      <c r="G733" s="2" t="str">
        <f t="shared" ca="1" si="0"/>
        <v>Indiana University of Pennsylvania</v>
      </c>
      <c r="H733" s="5" t="str">
        <f t="shared" ca="1" si="1"/>
        <v>Indiana University of Pennsylvania</v>
      </c>
      <c r="I733" s="3" t="str">
        <f t="shared" ca="1" si="2"/>
        <v>'Indiana University of Pennsylvania',</v>
      </c>
    </row>
    <row r="734" spans="1:9">
      <c r="A734" s="1" t="s">
        <v>732</v>
      </c>
      <c r="B734" s="3" t="str">
        <f ca="1">IFERROR(__xludf.DUMMYFUNCTION("SPLIT(A734,"","")"),"US")</f>
        <v>US</v>
      </c>
      <c r="C734" s="3" t="str">
        <f ca="1">IFERROR(__xludf.DUMMYFUNCTION("""COMPUTED_VALUE"""),"Indiana University-Purdue University at Columbus")</f>
        <v>Indiana University-Purdue University at Columbus</v>
      </c>
      <c r="D734" s="4" t="str">
        <f ca="1">IFERROR(__xludf.DUMMYFUNCTION("""COMPUTED_VALUE"""),"http://www.columbus.iupui.edu/")</f>
        <v>http://www.columbus.iupui.edu/</v>
      </c>
      <c r="G734" s="2" t="str">
        <f t="shared" ca="1" si="0"/>
        <v>Indiana University-Purdue University at Columbus</v>
      </c>
      <c r="H734" s="5" t="str">
        <f t="shared" ca="1" si="1"/>
        <v>Indiana University-Purdue University at Columbus</v>
      </c>
      <c r="I734" s="3" t="str">
        <f t="shared" ca="1" si="2"/>
        <v>'Indiana University-Purdue University at Columbus',</v>
      </c>
    </row>
    <row r="735" spans="1:9">
      <c r="A735" s="1" t="s">
        <v>733</v>
      </c>
      <c r="B735" s="3" t="str">
        <f ca="1">IFERROR(__xludf.DUMMYFUNCTION("SPLIT(A735,"","")"),"US")</f>
        <v>US</v>
      </c>
      <c r="C735" s="3" t="str">
        <f ca="1">IFERROR(__xludf.DUMMYFUNCTION("""COMPUTED_VALUE"""),"Indiana University-Purdue University at Fort Wayne")</f>
        <v>Indiana University-Purdue University at Fort Wayne</v>
      </c>
      <c r="D735" s="4" t="str">
        <f ca="1">IFERROR(__xludf.DUMMYFUNCTION("""COMPUTED_VALUE"""),"http://www.ipfw.edu/")</f>
        <v>http://www.ipfw.edu/</v>
      </c>
      <c r="G735" s="2" t="str">
        <f t="shared" ca="1" si="0"/>
        <v>Indiana University-Purdue University at Fort Wayne</v>
      </c>
      <c r="H735" s="5" t="str">
        <f t="shared" ca="1" si="1"/>
        <v>Indiana University-Purdue University at Fort Wayne</v>
      </c>
      <c r="I735" s="3" t="str">
        <f t="shared" ca="1" si="2"/>
        <v>'Indiana University-Purdue University at Fort Wayne',</v>
      </c>
    </row>
    <row r="736" spans="1:9">
      <c r="A736" s="1" t="s">
        <v>734</v>
      </c>
      <c r="B736" s="3" t="str">
        <f ca="1">IFERROR(__xludf.DUMMYFUNCTION("SPLIT(A736,"","")"),"US")</f>
        <v>US</v>
      </c>
      <c r="C736" s="3" t="str">
        <f ca="1">IFERROR(__xludf.DUMMYFUNCTION("""COMPUTED_VALUE"""),"Indiana University-Purdue University at Indianapolis")</f>
        <v>Indiana University-Purdue University at Indianapolis</v>
      </c>
      <c r="D736" s="4" t="str">
        <f ca="1">IFERROR(__xludf.DUMMYFUNCTION("""COMPUTED_VALUE"""),"http://www.iupui.edu/")</f>
        <v>http://www.iupui.edu/</v>
      </c>
      <c r="G736" s="2" t="str">
        <f t="shared" ca="1" si="0"/>
        <v>Indiana University-Purdue University at Indianapolis</v>
      </c>
      <c r="H736" s="5" t="str">
        <f t="shared" ca="1" si="1"/>
        <v>Indiana University-Purdue University at Indianapolis</v>
      </c>
      <c r="I736" s="3" t="str">
        <f t="shared" ca="1" si="2"/>
        <v>'Indiana University-Purdue University at Indianapolis',</v>
      </c>
    </row>
    <row r="737" spans="1:9">
      <c r="A737" s="1" t="s">
        <v>735</v>
      </c>
      <c r="B737" s="3" t="str">
        <f ca="1">IFERROR(__xludf.DUMMYFUNCTION("SPLIT(A737,"","")"),"US")</f>
        <v>US</v>
      </c>
      <c r="C737" s="3" t="str">
        <f ca="1">IFERROR(__xludf.DUMMYFUNCTION("""COMPUTED_VALUE"""),"Indiana University - Southeast")</f>
        <v>Indiana University - Southeast</v>
      </c>
      <c r="D737" s="4" t="str">
        <f ca="1">IFERROR(__xludf.DUMMYFUNCTION("""COMPUTED_VALUE"""),"http://www.ius.indiana.edu/")</f>
        <v>http://www.ius.indiana.edu/</v>
      </c>
      <c r="G737" s="2" t="str">
        <f t="shared" ca="1" si="0"/>
        <v>Indiana University - Southeast</v>
      </c>
      <c r="H737" s="5" t="str">
        <f t="shared" ca="1" si="1"/>
        <v>Indiana University - Southeast</v>
      </c>
      <c r="I737" s="3" t="str">
        <f t="shared" ca="1" si="2"/>
        <v>'Indiana University - Southeast',</v>
      </c>
    </row>
    <row r="738" spans="1:9">
      <c r="A738" s="1" t="s">
        <v>736</v>
      </c>
      <c r="B738" s="3" t="str">
        <f ca="1">IFERROR(__xludf.DUMMYFUNCTION("SPLIT(A738,"","")"),"US")</f>
        <v>US</v>
      </c>
      <c r="C738" s="3" t="str">
        <f ca="1">IFERROR(__xludf.DUMMYFUNCTION("""COMPUTED_VALUE"""),"Indiana University (System)")</f>
        <v>Indiana University (System)</v>
      </c>
      <c r="D738" s="4" t="str">
        <f ca="1">IFERROR(__xludf.DUMMYFUNCTION("""COMPUTED_VALUE"""),"http://www.indiana.edu/")</f>
        <v>http://www.indiana.edu/</v>
      </c>
      <c r="G738" s="2" t="str">
        <f t="shared" ca="1" si="0"/>
        <v>Indiana University (System)</v>
      </c>
      <c r="H738" s="5" t="str">
        <f t="shared" ca="1" si="1"/>
        <v>Indiana University (System)</v>
      </c>
      <c r="I738" s="3" t="str">
        <f t="shared" ca="1" si="2"/>
        <v>'Indiana University (System)',</v>
      </c>
    </row>
    <row r="739" spans="1:9">
      <c r="A739" s="1" t="s">
        <v>737</v>
      </c>
      <c r="B739" s="3" t="str">
        <f ca="1">IFERROR(__xludf.DUMMYFUNCTION("SPLIT(A739,"","")"),"US")</f>
        <v>US</v>
      </c>
      <c r="C739" s="3" t="str">
        <f ca="1">IFERROR(__xludf.DUMMYFUNCTION("""COMPUTED_VALUE"""),"Indiana Wesleyan University")</f>
        <v>Indiana Wesleyan University</v>
      </c>
      <c r="D739" s="4" t="str">
        <f ca="1">IFERROR(__xludf.DUMMYFUNCTION("""COMPUTED_VALUE"""),"http://www.indwes.edu/")</f>
        <v>http://www.indwes.edu/</v>
      </c>
      <c r="G739" s="2" t="str">
        <f t="shared" ca="1" si="0"/>
        <v>Indiana Wesleyan University</v>
      </c>
      <c r="H739" s="5" t="str">
        <f t="shared" ca="1" si="1"/>
        <v>Indiana Wesleyan University</v>
      </c>
      <c r="I739" s="3" t="str">
        <f t="shared" ca="1" si="2"/>
        <v>'Indiana Wesleyan University',</v>
      </c>
    </row>
    <row r="740" spans="1:9">
      <c r="A740" s="1" t="s">
        <v>738</v>
      </c>
      <c r="B740" s="3" t="str">
        <f ca="1">IFERROR(__xludf.DUMMYFUNCTION("SPLIT(A740,"","")"),"US")</f>
        <v>US</v>
      </c>
      <c r="C740" s="3" t="str">
        <f ca="1">IFERROR(__xludf.DUMMYFUNCTION("""COMPUTED_VALUE"""),"Institute of Clinical Social Work")</f>
        <v>Institute of Clinical Social Work</v>
      </c>
      <c r="D740" s="4" t="str">
        <f ca="1">IFERROR(__xludf.DUMMYFUNCTION("""COMPUTED_VALUE"""),"http://www.icsw.com/")</f>
        <v>http://www.icsw.com/</v>
      </c>
      <c r="G740" s="2" t="str">
        <f t="shared" ca="1" si="0"/>
        <v>Institute of Clinical Social Work</v>
      </c>
      <c r="H740" s="5" t="str">
        <f t="shared" ca="1" si="1"/>
        <v>Institute of Clinical Social Work</v>
      </c>
      <c r="I740" s="3" t="str">
        <f t="shared" ca="1" si="2"/>
        <v>'Institute of Clinical Social Work',</v>
      </c>
    </row>
    <row r="741" spans="1:9">
      <c r="A741" s="1" t="s">
        <v>739</v>
      </c>
      <c r="B741" s="3" t="str">
        <f ca="1">IFERROR(__xludf.DUMMYFUNCTION("SPLIT(A741,"","")"),"US")</f>
        <v>US</v>
      </c>
      <c r="C741" s="3" t="str">
        <f ca="1">IFERROR(__xludf.DUMMYFUNCTION("""COMPUTED_VALUE"""),"Institute of Paper Science and Technology")</f>
        <v>Institute of Paper Science and Technology</v>
      </c>
      <c r="D741" s="4" t="str">
        <f ca="1">IFERROR(__xludf.DUMMYFUNCTION("""COMPUTED_VALUE"""),"http://www.ipst.edu/")</f>
        <v>http://www.ipst.edu/</v>
      </c>
      <c r="G741" s="2" t="str">
        <f t="shared" ca="1" si="0"/>
        <v>Institute of Paper Science and Technology</v>
      </c>
      <c r="H741" s="5" t="str">
        <f t="shared" ca="1" si="1"/>
        <v>Institute of Paper Science and Technology</v>
      </c>
      <c r="I741" s="3" t="str">
        <f t="shared" ca="1" si="2"/>
        <v>'Institute of Paper Science and Technology',</v>
      </c>
    </row>
    <row r="742" spans="1:9">
      <c r="A742" s="1" t="s">
        <v>740</v>
      </c>
      <c r="B742" s="3" t="str">
        <f ca="1">IFERROR(__xludf.DUMMYFUNCTION("SPLIT(A742,"","")"),"US")</f>
        <v>US</v>
      </c>
      <c r="C742" s="3" t="str">
        <f ca="1">IFERROR(__xludf.DUMMYFUNCTION("""COMPUTED_VALUE"""),"Institute of Textile Technology")</f>
        <v>Institute of Textile Technology</v>
      </c>
      <c r="D742" s="4" t="str">
        <f ca="1">IFERROR(__xludf.DUMMYFUNCTION("""COMPUTED_VALUE"""),"http://www.itt.edu/")</f>
        <v>http://www.itt.edu/</v>
      </c>
      <c r="G742" s="2" t="str">
        <f t="shared" ca="1" si="0"/>
        <v>Institute of Textile Technology</v>
      </c>
      <c r="H742" s="5" t="str">
        <f t="shared" ca="1" si="1"/>
        <v>Institute of Textile Technology</v>
      </c>
      <c r="I742" s="3" t="str">
        <f t="shared" ca="1" si="2"/>
        <v>'Institute of Textile Technology',</v>
      </c>
    </row>
    <row r="743" spans="1:9">
      <c r="A743" s="1" t="s">
        <v>741</v>
      </c>
      <c r="B743" s="3" t="str">
        <f ca="1">IFERROR(__xludf.DUMMYFUNCTION("SPLIT(A743,"","")"),"US")</f>
        <v>US</v>
      </c>
      <c r="C743" s="3" t="str">
        <f ca="1">IFERROR(__xludf.DUMMYFUNCTION("""COMPUTED_VALUE"""),"Institute of Transpersonal Psychology")</f>
        <v>Institute of Transpersonal Psychology</v>
      </c>
      <c r="D743" s="4" t="str">
        <f ca="1">IFERROR(__xludf.DUMMYFUNCTION("""COMPUTED_VALUE"""),"http://www.itp.edu/")</f>
        <v>http://www.itp.edu/</v>
      </c>
      <c r="G743" s="2" t="str">
        <f t="shared" ca="1" si="0"/>
        <v>Institute of Transpersonal Psychology</v>
      </c>
      <c r="H743" s="5" t="str">
        <f t="shared" ca="1" si="1"/>
        <v>Institute of Transpersonal Psychology</v>
      </c>
      <c r="I743" s="3" t="str">
        <f t="shared" ca="1" si="2"/>
        <v>'Institute of Transpersonal Psychology',</v>
      </c>
    </row>
    <row r="744" spans="1:9">
      <c r="A744" s="1" t="s">
        <v>742</v>
      </c>
      <c r="B744" s="3" t="str">
        <f ca="1">IFERROR(__xludf.DUMMYFUNCTION("SPLIT(A744,"","")"),"US")</f>
        <v>US</v>
      </c>
      <c r="C744" s="3" t="str">
        <f ca="1">IFERROR(__xludf.DUMMYFUNCTION("""COMPUTED_VALUE"""),"IntelliTec College - Grand Junction")</f>
        <v>IntelliTec College - Grand Junction</v>
      </c>
      <c r="D744" s="4" t="str">
        <f ca="1">IFERROR(__xludf.DUMMYFUNCTION("""COMPUTED_VALUE"""),"http://www.intelliteccollege.edu/")</f>
        <v>http://www.intelliteccollege.edu/</v>
      </c>
      <c r="G744" s="2" t="str">
        <f t="shared" ca="1" si="0"/>
        <v>IntelliTec College - Grand Junction</v>
      </c>
      <c r="H744" s="5" t="str">
        <f t="shared" ca="1" si="1"/>
        <v>IntelliTec College - Grand Junction</v>
      </c>
      <c r="I744" s="3" t="str">
        <f t="shared" ca="1" si="2"/>
        <v>'IntelliTec College - Grand Junction',</v>
      </c>
    </row>
    <row r="745" spans="1:9">
      <c r="A745" s="1" t="s">
        <v>743</v>
      </c>
      <c r="B745" s="3" t="str">
        <f ca="1">IFERROR(__xludf.DUMMYFUNCTION("SPLIT(A745,"","")"),"US")</f>
        <v>US</v>
      </c>
      <c r="C745" s="3" t="str">
        <f ca="1">IFERROR(__xludf.DUMMYFUNCTION("""COMPUTED_VALUE"""),"International Academy of  Merchandising and Design Chicago")</f>
        <v>International Academy of  Merchandising and Design Chicago</v>
      </c>
      <c r="D745" s="4" t="str">
        <f ca="1">IFERROR(__xludf.DUMMYFUNCTION("""COMPUTED_VALUE"""),"http://www.iamd.edu/")</f>
        <v>http://www.iamd.edu/</v>
      </c>
      <c r="G745" s="2" t="str">
        <f t="shared" ca="1" si="0"/>
        <v>International Academy of  Merchandising and Design Chicago</v>
      </c>
      <c r="H745" s="5" t="str">
        <f t="shared" ca="1" si="1"/>
        <v>International Academy of  Merchandising and Design Chicago</v>
      </c>
      <c r="I745" s="3" t="str">
        <f t="shared" ca="1" si="2"/>
        <v>'International Academy of  Merchandising and Design Chicago',</v>
      </c>
    </row>
    <row r="746" spans="1:9">
      <c r="A746" s="1" t="s">
        <v>744</v>
      </c>
      <c r="B746" s="3" t="str">
        <f ca="1">IFERROR(__xludf.DUMMYFUNCTION("SPLIT(A746,"","")"),"US")</f>
        <v>US</v>
      </c>
      <c r="C746" s="3" t="str">
        <f ca="1">IFERROR(__xludf.DUMMYFUNCTION("""COMPUTED_VALUE"""),"International Academy of  Merchandising and Design Tampa")</f>
        <v>International Academy of  Merchandising and Design Tampa</v>
      </c>
      <c r="D746" s="4" t="str">
        <f ca="1">IFERROR(__xludf.DUMMYFUNCTION("""COMPUTED_VALUE"""),"http://www.academy.edu/")</f>
        <v>http://www.academy.edu/</v>
      </c>
      <c r="G746" s="2" t="str">
        <f t="shared" ca="1" si="0"/>
        <v>International Academy of  Merchandising and Design Tampa</v>
      </c>
      <c r="H746" s="5" t="str">
        <f t="shared" ca="1" si="1"/>
        <v>International Academy of  Merchandising and Design Tampa</v>
      </c>
      <c r="I746" s="3" t="str">
        <f t="shared" ca="1" si="2"/>
        <v>'International Academy of  Merchandising and Design Tampa',</v>
      </c>
    </row>
    <row r="747" spans="1:9">
      <c r="A747" s="1" t="s">
        <v>745</v>
      </c>
      <c r="B747" s="3" t="str">
        <f ca="1">IFERROR(__xludf.DUMMYFUNCTION("SPLIT(A747,"","")"),"US")</f>
        <v>US</v>
      </c>
      <c r="C747" s="3" t="str">
        <f ca="1">IFERROR(__xludf.DUMMYFUNCTION("""COMPUTED_VALUE"""),"International Bible College")</f>
        <v>International Bible College</v>
      </c>
      <c r="D747" s="4" t="str">
        <f ca="1">IFERROR(__xludf.DUMMYFUNCTION("""COMPUTED_VALUE"""),"http://www.i-b-c.edu/")</f>
        <v>http://www.i-b-c.edu/</v>
      </c>
      <c r="G747" s="2" t="str">
        <f t="shared" ca="1" si="0"/>
        <v>International Bible College</v>
      </c>
      <c r="H747" s="5" t="str">
        <f t="shared" ca="1" si="1"/>
        <v>International Bible College</v>
      </c>
      <c r="I747" s="3" t="str">
        <f t="shared" ca="1" si="2"/>
        <v>'International Bible College',</v>
      </c>
    </row>
    <row r="748" spans="1:9">
      <c r="A748" s="1" t="s">
        <v>746</v>
      </c>
      <c r="B748" s="3" t="str">
        <f ca="1">IFERROR(__xludf.DUMMYFUNCTION("SPLIT(A748,"","")"),"US")</f>
        <v>US</v>
      </c>
      <c r="C748" s="3" t="str">
        <f ca="1">IFERROR(__xludf.DUMMYFUNCTION("""COMPUTED_VALUE"""),"International College")</f>
        <v>International College</v>
      </c>
      <c r="D748" s="4" t="str">
        <f ca="1">IFERROR(__xludf.DUMMYFUNCTION("""COMPUTED_VALUE"""),"http://www.internationalcollege.edu/")</f>
        <v>http://www.internationalcollege.edu/</v>
      </c>
      <c r="G748" s="2" t="str">
        <f t="shared" ca="1" si="0"/>
        <v>International College</v>
      </c>
      <c r="H748" s="5" t="str">
        <f t="shared" ca="1" si="1"/>
        <v>International College</v>
      </c>
      <c r="I748" s="3" t="str">
        <f t="shared" ca="1" si="2"/>
        <v>'International College',</v>
      </c>
    </row>
    <row r="749" spans="1:9">
      <c r="A749" s="1" t="s">
        <v>747</v>
      </c>
      <c r="B749" s="3" t="str">
        <f ca="1">IFERROR(__xludf.DUMMYFUNCTION("SPLIT(A749,"","")"),"US")</f>
        <v>US</v>
      </c>
      <c r="C749" s="3" t="str">
        <f ca="1">IFERROR(__xludf.DUMMYFUNCTION("""COMPUTED_VALUE"""),"Iona College")</f>
        <v>Iona College</v>
      </c>
      <c r="D749" s="4" t="str">
        <f ca="1">IFERROR(__xludf.DUMMYFUNCTION("""COMPUTED_VALUE"""),"http://www.iona.edu/")</f>
        <v>http://www.iona.edu/</v>
      </c>
      <c r="G749" s="2" t="str">
        <f t="shared" ca="1" si="0"/>
        <v>Iona College</v>
      </c>
      <c r="H749" s="5" t="str">
        <f t="shared" ca="1" si="1"/>
        <v>Iona College</v>
      </c>
      <c r="I749" s="3" t="str">
        <f t="shared" ca="1" si="2"/>
        <v>'Iona College',</v>
      </c>
    </row>
    <row r="750" spans="1:9">
      <c r="A750" s="1" t="s">
        <v>748</v>
      </c>
      <c r="B750" s="3" t="str">
        <f ca="1">IFERROR(__xludf.DUMMYFUNCTION("SPLIT(A750,"","")"),"US")</f>
        <v>US</v>
      </c>
      <c r="C750" s="3" t="str">
        <f ca="1">IFERROR(__xludf.DUMMYFUNCTION("""COMPUTED_VALUE"""),"Iowa State University of Science and Technology")</f>
        <v>Iowa State University of Science and Technology</v>
      </c>
      <c r="D750" s="4" t="str">
        <f ca="1">IFERROR(__xludf.DUMMYFUNCTION("""COMPUTED_VALUE"""),"http://www.iastate.edu/")</f>
        <v>http://www.iastate.edu/</v>
      </c>
      <c r="G750" s="2" t="str">
        <f t="shared" ca="1" si="0"/>
        <v>Iowa State University of Science and Technology</v>
      </c>
      <c r="H750" s="5" t="str">
        <f t="shared" ca="1" si="1"/>
        <v>Iowa State University of Science and Technology</v>
      </c>
      <c r="I750" s="3" t="str">
        <f t="shared" ca="1" si="2"/>
        <v>'Iowa State University of Science and Technology',</v>
      </c>
    </row>
    <row r="751" spans="1:9">
      <c r="A751" s="1" t="s">
        <v>749</v>
      </c>
      <c r="B751" s="3" t="str">
        <f ca="1">IFERROR(__xludf.DUMMYFUNCTION("SPLIT(A751,"","")"),"US")</f>
        <v>US</v>
      </c>
      <c r="C751" s="3" t="str">
        <f ca="1">IFERROR(__xludf.DUMMYFUNCTION("""COMPUTED_VALUE"""),"Iowa Wesleyan College")</f>
        <v>Iowa Wesleyan College</v>
      </c>
      <c r="D751" s="4" t="str">
        <f ca="1">IFERROR(__xludf.DUMMYFUNCTION("""COMPUTED_VALUE"""),"http://www.iwc.edu/")</f>
        <v>http://www.iwc.edu/</v>
      </c>
      <c r="G751" s="2" t="str">
        <f t="shared" ca="1" si="0"/>
        <v>Iowa Wesleyan College</v>
      </c>
      <c r="H751" s="5" t="str">
        <f t="shared" ca="1" si="1"/>
        <v>Iowa Wesleyan College</v>
      </c>
      <c r="I751" s="3" t="str">
        <f t="shared" ca="1" si="2"/>
        <v>'Iowa Wesleyan College',</v>
      </c>
    </row>
    <row r="752" spans="1:9">
      <c r="A752" s="1" t="s">
        <v>750</v>
      </c>
      <c r="B752" s="3" t="str">
        <f ca="1">IFERROR(__xludf.DUMMYFUNCTION("SPLIT(A752,"","")"),"US")</f>
        <v>US</v>
      </c>
      <c r="C752" s="3" t="str">
        <f ca="1">IFERROR(__xludf.DUMMYFUNCTION("""COMPUTED_VALUE"""),"Ithaca College")</f>
        <v>Ithaca College</v>
      </c>
      <c r="D752" s="4" t="str">
        <f ca="1">IFERROR(__xludf.DUMMYFUNCTION("""COMPUTED_VALUE"""),"http://www.ithaca.edu/")</f>
        <v>http://www.ithaca.edu/</v>
      </c>
      <c r="G752" s="2" t="str">
        <f t="shared" ca="1" si="0"/>
        <v>Ithaca College</v>
      </c>
      <c r="H752" s="5" t="str">
        <f t="shared" ca="1" si="1"/>
        <v>Ithaca College</v>
      </c>
      <c r="I752" s="3" t="str">
        <f t="shared" ca="1" si="2"/>
        <v>'Ithaca College',</v>
      </c>
    </row>
    <row r="753" spans="1:9">
      <c r="A753" s="1" t="s">
        <v>751</v>
      </c>
      <c r="B753" s="3" t="str">
        <f ca="1">IFERROR(__xludf.DUMMYFUNCTION("SPLIT(A753,"","")"),"US")</f>
        <v>US</v>
      </c>
      <c r="C753" s="3" t="str">
        <f ca="1">IFERROR(__xludf.DUMMYFUNCTION("""COMPUTED_VALUE"""),"ITT Technical Institute Fort Wayne")</f>
        <v>ITT Technical Institute Fort Wayne</v>
      </c>
      <c r="D753" s="4" t="str">
        <f ca="1">IFERROR(__xludf.DUMMYFUNCTION("""COMPUTED_VALUE"""),"http://www.itttech.edu/campus/")</f>
        <v>http://www.itttech.edu/campus/</v>
      </c>
      <c r="G753" s="2" t="str">
        <f t="shared" ca="1" si="0"/>
        <v>ITT Technical Institute Fort Wayne</v>
      </c>
      <c r="H753" s="5" t="str">
        <f t="shared" ca="1" si="1"/>
        <v>ITT Technical Institute Fort Wayne</v>
      </c>
      <c r="I753" s="3" t="str">
        <f t="shared" ca="1" si="2"/>
        <v>'ITT Technical Institute Fort Wayne',</v>
      </c>
    </row>
    <row r="754" spans="1:9">
      <c r="A754" s="1" t="s">
        <v>752</v>
      </c>
      <c r="B754" s="3" t="str">
        <f ca="1">IFERROR(__xludf.DUMMYFUNCTION("SPLIT(A754,"","")"),"US")</f>
        <v>US</v>
      </c>
      <c r="C754" s="3" t="str">
        <f ca="1">IFERROR(__xludf.DUMMYFUNCTION("""COMPUTED_VALUE"""),"ITT Technical Institute Indianapolis")</f>
        <v>ITT Technical Institute Indianapolis</v>
      </c>
      <c r="D754" s="4" t="str">
        <f ca="1">IFERROR(__xludf.DUMMYFUNCTION("""COMPUTED_VALUE"""),"http://www.itttech.edu/campus/")</f>
        <v>http://www.itttech.edu/campus/</v>
      </c>
      <c r="G754" s="2" t="str">
        <f t="shared" ca="1" si="0"/>
        <v>ITT Technical Institute Indianapolis</v>
      </c>
      <c r="H754" s="5" t="str">
        <f t="shared" ca="1" si="1"/>
        <v>ITT Technical Institute Indianapolis</v>
      </c>
      <c r="I754" s="3" t="str">
        <f t="shared" ca="1" si="2"/>
        <v>'ITT Technical Institute Indianapolis',</v>
      </c>
    </row>
    <row r="755" spans="1:9">
      <c r="A755" s="1" t="s">
        <v>753</v>
      </c>
      <c r="B755" s="3" t="str">
        <f ca="1">IFERROR(__xludf.DUMMYFUNCTION("SPLIT(A755,"","")"),"US")</f>
        <v>US</v>
      </c>
      <c r="C755" s="3" t="str">
        <f ca="1">IFERROR(__xludf.DUMMYFUNCTION("""COMPUTED_VALUE"""),"ITT Technical Institute Maitland")</f>
        <v>ITT Technical Institute Maitland</v>
      </c>
      <c r="D755" s="4" t="str">
        <f ca="1">IFERROR(__xludf.DUMMYFUNCTION("""COMPUTED_VALUE"""),"http://www.itttech.edu/campus/")</f>
        <v>http://www.itttech.edu/campus/</v>
      </c>
      <c r="G755" s="2" t="str">
        <f t="shared" ca="1" si="0"/>
        <v>ITT Technical Institute Maitland</v>
      </c>
      <c r="H755" s="5" t="str">
        <f t="shared" ca="1" si="1"/>
        <v>ITT Technical Institute Maitland</v>
      </c>
      <c r="I755" s="3" t="str">
        <f t="shared" ca="1" si="2"/>
        <v>'ITT Technical Institute Maitland',</v>
      </c>
    </row>
    <row r="756" spans="1:9">
      <c r="A756" s="1" t="s">
        <v>754</v>
      </c>
      <c r="B756" s="3" t="str">
        <f ca="1">IFERROR(__xludf.DUMMYFUNCTION("SPLIT(A756,"","")"),"US")</f>
        <v>US</v>
      </c>
      <c r="C756" s="3" t="str">
        <f ca="1">IFERROR(__xludf.DUMMYFUNCTION("""COMPUTED_VALUE"""),"ITT Technical Institute Portland")</f>
        <v>ITT Technical Institute Portland</v>
      </c>
      <c r="D756" s="4" t="str">
        <f ca="1">IFERROR(__xludf.DUMMYFUNCTION("""COMPUTED_VALUE"""),"http://www.itttech.edu/campus/")</f>
        <v>http://www.itttech.edu/campus/</v>
      </c>
      <c r="G756" s="2" t="str">
        <f t="shared" ca="1" si="0"/>
        <v>ITT Technical Institute Portland</v>
      </c>
      <c r="H756" s="5" t="str">
        <f t="shared" ca="1" si="1"/>
        <v>ITT Technical Institute Portland</v>
      </c>
      <c r="I756" s="3" t="str">
        <f t="shared" ca="1" si="2"/>
        <v>'ITT Technical Institute Portland',</v>
      </c>
    </row>
    <row r="757" spans="1:9">
      <c r="A757" s="1" t="s">
        <v>755</v>
      </c>
      <c r="B757" s="3" t="str">
        <f ca="1">IFERROR(__xludf.DUMMYFUNCTION("SPLIT(A757,"","")"),"US")</f>
        <v>US</v>
      </c>
      <c r="C757" s="3" t="str">
        <f ca="1">IFERROR(__xludf.DUMMYFUNCTION("""COMPUTED_VALUE"""),"ITT Technical Institute West Covina")</f>
        <v>ITT Technical Institute West Covina</v>
      </c>
      <c r="D757" s="4" t="str">
        <f ca="1">IFERROR(__xludf.DUMMYFUNCTION("""COMPUTED_VALUE"""),"http://www.itttech.edu/campus/")</f>
        <v>http://www.itttech.edu/campus/</v>
      </c>
      <c r="G757" s="2" t="str">
        <f t="shared" ca="1" si="0"/>
        <v>ITT Technical Institute West Covina</v>
      </c>
      <c r="H757" s="5" t="str">
        <f t="shared" ca="1" si="1"/>
        <v>ITT Technical Institute West Covina</v>
      </c>
      <c r="I757" s="3" t="str">
        <f t="shared" ca="1" si="2"/>
        <v>'ITT Technical Institute West Covina',</v>
      </c>
    </row>
    <row r="758" spans="1:9">
      <c r="A758" s="1" t="s">
        <v>756</v>
      </c>
      <c r="B758" s="3" t="str">
        <f ca="1">IFERROR(__xludf.DUMMYFUNCTION("SPLIT(A758,"","")"),"US")</f>
        <v>US</v>
      </c>
      <c r="C758" s="3" t="str">
        <f ca="1">IFERROR(__xludf.DUMMYFUNCTION("""COMPUTED_VALUE"""),"Jackson State University")</f>
        <v>Jackson State University</v>
      </c>
      <c r="D758" s="4" t="str">
        <f ca="1">IFERROR(__xludf.DUMMYFUNCTION("""COMPUTED_VALUE"""),"http://www.jsums.edu/")</f>
        <v>http://www.jsums.edu/</v>
      </c>
      <c r="G758" s="2" t="str">
        <f t="shared" ca="1" si="0"/>
        <v>Jackson State University</v>
      </c>
      <c r="H758" s="5" t="str">
        <f t="shared" ca="1" si="1"/>
        <v>Jackson State University</v>
      </c>
      <c r="I758" s="3" t="str">
        <f t="shared" ca="1" si="2"/>
        <v>'Jackson State University',</v>
      </c>
    </row>
    <row r="759" spans="1:9">
      <c r="A759" s="1" t="s">
        <v>757</v>
      </c>
      <c r="B759" s="3" t="str">
        <f ca="1">IFERROR(__xludf.DUMMYFUNCTION("SPLIT(A759,"","")"),"US")</f>
        <v>US</v>
      </c>
      <c r="C759" s="3" t="str">
        <f ca="1">IFERROR(__xludf.DUMMYFUNCTION("""COMPUTED_VALUE"""),"Jacksonville State University")</f>
        <v>Jacksonville State University</v>
      </c>
      <c r="D759" s="4" t="str">
        <f ca="1">IFERROR(__xludf.DUMMYFUNCTION("""COMPUTED_VALUE"""),"http://www.jsu.edu/")</f>
        <v>http://www.jsu.edu/</v>
      </c>
      <c r="G759" s="2" t="str">
        <f t="shared" ca="1" si="0"/>
        <v>Jacksonville State University</v>
      </c>
      <c r="H759" s="5" t="str">
        <f t="shared" ca="1" si="1"/>
        <v>Jacksonville State University</v>
      </c>
      <c r="I759" s="3" t="str">
        <f t="shared" ca="1" si="2"/>
        <v>'Jacksonville State University',</v>
      </c>
    </row>
    <row r="760" spans="1:9">
      <c r="A760" s="1" t="s">
        <v>758</v>
      </c>
      <c r="B760" s="3" t="str">
        <f ca="1">IFERROR(__xludf.DUMMYFUNCTION("SPLIT(A760,"","")"),"US")</f>
        <v>US</v>
      </c>
      <c r="C760" s="3" t="str">
        <f ca="1">IFERROR(__xludf.DUMMYFUNCTION("""COMPUTED_VALUE"""),"Jacksonville University")</f>
        <v>Jacksonville University</v>
      </c>
      <c r="D760" s="4" t="str">
        <f ca="1">IFERROR(__xludf.DUMMYFUNCTION("""COMPUTED_VALUE"""),"http://www.ju.edu/")</f>
        <v>http://www.ju.edu/</v>
      </c>
      <c r="G760" s="2" t="str">
        <f t="shared" ca="1" si="0"/>
        <v>Jacksonville University</v>
      </c>
      <c r="H760" s="5" t="str">
        <f t="shared" ca="1" si="1"/>
        <v>Jacksonville University</v>
      </c>
      <c r="I760" s="3" t="str">
        <f t="shared" ca="1" si="2"/>
        <v>'Jacksonville University',</v>
      </c>
    </row>
    <row r="761" spans="1:9">
      <c r="A761" s="1" t="s">
        <v>759</v>
      </c>
      <c r="B761" s="3" t="str">
        <f ca="1">IFERROR(__xludf.DUMMYFUNCTION("SPLIT(A761,"","")"),"US")</f>
        <v>US</v>
      </c>
      <c r="C761" s="3" t="str">
        <f ca="1">IFERROR(__xludf.DUMMYFUNCTION("""COMPUTED_VALUE"""),"James Madison University")</f>
        <v>James Madison University</v>
      </c>
      <c r="D761" s="4" t="str">
        <f ca="1">IFERROR(__xludf.DUMMYFUNCTION("""COMPUTED_VALUE"""),"http://www.jmu.edu/")</f>
        <v>http://www.jmu.edu/</v>
      </c>
      <c r="G761" s="2" t="str">
        <f t="shared" ca="1" si="0"/>
        <v>James Madison University</v>
      </c>
      <c r="H761" s="5" t="str">
        <f t="shared" ca="1" si="1"/>
        <v>James Madison University</v>
      </c>
      <c r="I761" s="3" t="str">
        <f t="shared" ca="1" si="2"/>
        <v>'James Madison University',</v>
      </c>
    </row>
    <row r="762" spans="1:9">
      <c r="A762" s="1" t="s">
        <v>760</v>
      </c>
      <c r="B762" s="3" t="str">
        <f ca="1">IFERROR(__xludf.DUMMYFUNCTION("SPLIT(A762,"","")"),"US")</f>
        <v>US</v>
      </c>
      <c r="C762" s="3" t="str">
        <f ca="1">IFERROR(__xludf.DUMMYFUNCTION("""COMPUTED_VALUE"""),"Jamestown College")</f>
        <v>Jamestown College</v>
      </c>
      <c r="D762" s="4" t="str">
        <f ca="1">IFERROR(__xludf.DUMMYFUNCTION("""COMPUTED_VALUE"""),"http://www.jc.edu/")</f>
        <v>http://www.jc.edu/</v>
      </c>
      <c r="G762" s="2" t="str">
        <f t="shared" ca="1" si="0"/>
        <v>Jamestown College</v>
      </c>
      <c r="H762" s="5" t="str">
        <f t="shared" ca="1" si="1"/>
        <v>Jamestown College</v>
      </c>
      <c r="I762" s="3" t="str">
        <f t="shared" ca="1" si="2"/>
        <v>'Jamestown College',</v>
      </c>
    </row>
    <row r="763" spans="1:9">
      <c r="A763" s="1" t="s">
        <v>761</v>
      </c>
      <c r="B763" s="3" t="str">
        <f ca="1">IFERROR(__xludf.DUMMYFUNCTION("SPLIT(A763,"","")"),"US")</f>
        <v>US</v>
      </c>
      <c r="C763" s="3" t="str">
        <f ca="1">IFERROR(__xludf.DUMMYFUNCTION("""COMPUTED_VALUE"""),"Jarvis Christian College")</f>
        <v>Jarvis Christian College</v>
      </c>
      <c r="D763" s="4" t="str">
        <f ca="1">IFERROR(__xludf.DUMMYFUNCTION("""COMPUTED_VALUE"""),"http://www.jarvis.edu/")</f>
        <v>http://www.jarvis.edu/</v>
      </c>
      <c r="G763" s="2" t="str">
        <f t="shared" ca="1" si="0"/>
        <v>Jarvis Christian College</v>
      </c>
      <c r="H763" s="5" t="str">
        <f t="shared" ca="1" si="1"/>
        <v>Jarvis Christian College</v>
      </c>
      <c r="I763" s="3" t="str">
        <f t="shared" ca="1" si="2"/>
        <v>'Jarvis Christian College',</v>
      </c>
    </row>
    <row r="764" spans="1:9">
      <c r="A764" s="1" t="s">
        <v>762</v>
      </c>
      <c r="B764" s="3" t="str">
        <f ca="1">IFERROR(__xludf.DUMMYFUNCTION("SPLIT(A764,"","")"),"US")</f>
        <v>US</v>
      </c>
      <c r="C764" s="3" t="str">
        <f ca="1">IFERROR(__xludf.DUMMYFUNCTION("""COMPUTED_VALUE"""),"John Brown University")</f>
        <v>John Brown University</v>
      </c>
      <c r="D764" s="4" t="str">
        <f ca="1">IFERROR(__xludf.DUMMYFUNCTION("""COMPUTED_VALUE"""),"http://www.jbu.edu/")</f>
        <v>http://www.jbu.edu/</v>
      </c>
      <c r="G764" s="2" t="str">
        <f t="shared" ca="1" si="0"/>
        <v>John Brown University</v>
      </c>
      <c r="H764" s="5" t="str">
        <f t="shared" ca="1" si="1"/>
        <v>John Brown University</v>
      </c>
      <c r="I764" s="3" t="str">
        <f t="shared" ca="1" si="2"/>
        <v>'John Brown University',</v>
      </c>
    </row>
    <row r="765" spans="1:9">
      <c r="A765" s="1" t="s">
        <v>763</v>
      </c>
      <c r="B765" s="3" t="str">
        <f ca="1">IFERROR(__xludf.DUMMYFUNCTION("SPLIT(A765,"","")"),"US")</f>
        <v>US</v>
      </c>
      <c r="C765" s="3" t="str">
        <f ca="1">IFERROR(__xludf.DUMMYFUNCTION("""COMPUTED_VALUE"""),"John Carroll University")</f>
        <v>John Carroll University</v>
      </c>
      <c r="D765" s="4" t="str">
        <f ca="1">IFERROR(__xludf.DUMMYFUNCTION("""COMPUTED_VALUE"""),"http://www.jcu.edu/")</f>
        <v>http://www.jcu.edu/</v>
      </c>
      <c r="G765" s="2" t="str">
        <f t="shared" ca="1" si="0"/>
        <v>John Carroll University</v>
      </c>
      <c r="H765" s="5" t="str">
        <f t="shared" ca="1" si="1"/>
        <v>John Carroll University</v>
      </c>
      <c r="I765" s="3" t="str">
        <f t="shared" ca="1" si="2"/>
        <v>'John Carroll University',</v>
      </c>
    </row>
    <row r="766" spans="1:9">
      <c r="A766" s="1" t="s">
        <v>764</v>
      </c>
      <c r="B766" s="3" t="str">
        <f ca="1">IFERROR(__xludf.DUMMYFUNCTION("SPLIT(A766,"","")"),"US")</f>
        <v>US</v>
      </c>
      <c r="C766" s="3" t="str">
        <f ca="1">IFERROR(__xludf.DUMMYFUNCTION("""COMPUTED_VALUE"""),"John F. Kennedy University")</f>
        <v>John F. Kennedy University</v>
      </c>
      <c r="D766" s="4" t="str">
        <f ca="1">IFERROR(__xludf.DUMMYFUNCTION("""COMPUTED_VALUE"""),"http://www.jfku.edu/")</f>
        <v>http://www.jfku.edu/</v>
      </c>
      <c r="G766" s="2" t="str">
        <f t="shared" ca="1" si="0"/>
        <v>John F. Kennedy University</v>
      </c>
      <c r="H766" s="5" t="str">
        <f t="shared" ca="1" si="1"/>
        <v>John F. Kennedy University</v>
      </c>
      <c r="I766" s="3" t="str">
        <f t="shared" ca="1" si="2"/>
        <v>'John F. Kennedy University',</v>
      </c>
    </row>
    <row r="767" spans="1:9">
      <c r="A767" s="1" t="s">
        <v>765</v>
      </c>
      <c r="B767" s="3" t="str">
        <f ca="1">IFERROR(__xludf.DUMMYFUNCTION("SPLIT(A767,"","")"),"US")</f>
        <v>US</v>
      </c>
      <c r="C767" s="3" t="str">
        <f ca="1">IFERROR(__xludf.DUMMYFUNCTION("""COMPUTED_VALUE"""),"John Marshall Law School")</f>
        <v>John Marshall Law School</v>
      </c>
      <c r="D767" s="4" t="str">
        <f ca="1">IFERROR(__xludf.DUMMYFUNCTION("""COMPUTED_VALUE"""),"http://www.jmls.edu/")</f>
        <v>http://www.jmls.edu/</v>
      </c>
      <c r="G767" s="2" t="str">
        <f t="shared" ca="1" si="0"/>
        <v>John Marshall Law School</v>
      </c>
      <c r="H767" s="5" t="str">
        <f t="shared" ca="1" si="1"/>
        <v>John Marshall Law School</v>
      </c>
      <c r="I767" s="3" t="str">
        <f t="shared" ca="1" si="2"/>
        <v>'John Marshall Law School',</v>
      </c>
    </row>
    <row r="768" spans="1:9">
      <c r="A768" s="1" t="s">
        <v>766</v>
      </c>
      <c r="B768" s="3" t="str">
        <f ca="1">IFERROR(__xludf.DUMMYFUNCTION("SPLIT(A768,"","")"),"US")</f>
        <v>US</v>
      </c>
      <c r="C768" s="3" t="str">
        <f ca="1">IFERROR(__xludf.DUMMYFUNCTION("""COMPUTED_VALUE"""),"John Paul the Great Catholic University")</f>
        <v>John Paul the Great Catholic University</v>
      </c>
      <c r="D768" s="4" t="str">
        <f ca="1">IFERROR(__xludf.DUMMYFUNCTION("""COMPUTED_VALUE"""),"http://www.jpcatholic.com/")</f>
        <v>http://www.jpcatholic.com/</v>
      </c>
      <c r="G768" s="2" t="str">
        <f t="shared" ca="1" si="0"/>
        <v>John Paul the Great Catholic University</v>
      </c>
      <c r="H768" s="5" t="str">
        <f t="shared" ca="1" si="1"/>
        <v>John Paul the Great Catholic University</v>
      </c>
      <c r="I768" s="3" t="str">
        <f t="shared" ca="1" si="2"/>
        <v>'John Paul the Great Catholic University',</v>
      </c>
    </row>
    <row r="769" spans="1:9">
      <c r="A769" s="1" t="s">
        <v>767</v>
      </c>
      <c r="B769" s="3" t="str">
        <f ca="1">IFERROR(__xludf.DUMMYFUNCTION("SPLIT(A769,"","")"),"US")</f>
        <v>US</v>
      </c>
      <c r="C769" s="3" t="str">
        <f ca="1">IFERROR(__xludf.DUMMYFUNCTION("""COMPUTED_VALUE"""),"Johns Hopkins University")</f>
        <v>Johns Hopkins University</v>
      </c>
      <c r="D769" s="4" t="str">
        <f ca="1">IFERROR(__xludf.DUMMYFUNCTION("""COMPUTED_VALUE"""),"http://www.jhu.edu/")</f>
        <v>http://www.jhu.edu/</v>
      </c>
      <c r="G769" s="2" t="str">
        <f t="shared" ca="1" si="0"/>
        <v>Johns Hopkins University</v>
      </c>
      <c r="H769" s="5" t="str">
        <f t="shared" ca="1" si="1"/>
        <v>Johns Hopkins University</v>
      </c>
      <c r="I769" s="3" t="str">
        <f t="shared" ca="1" si="2"/>
        <v>'Johns Hopkins University',</v>
      </c>
    </row>
    <row r="770" spans="1:9">
      <c r="A770" s="1" t="s">
        <v>768</v>
      </c>
      <c r="B770" s="3" t="str">
        <f ca="1">IFERROR(__xludf.DUMMYFUNCTION("SPLIT(A770,"","")"),"US")</f>
        <v>US</v>
      </c>
      <c r="C770" s="3" t="str">
        <f ca="1">IFERROR(__xludf.DUMMYFUNCTION("""COMPUTED_VALUE"""),"Johnson Bible College")</f>
        <v>Johnson Bible College</v>
      </c>
      <c r="D770" s="4" t="str">
        <f ca="1">IFERROR(__xludf.DUMMYFUNCTION("""COMPUTED_VALUE"""),"http://www.jbc.edu/")</f>
        <v>http://www.jbc.edu/</v>
      </c>
      <c r="G770" s="2" t="str">
        <f t="shared" ca="1" si="0"/>
        <v>Johnson Bible College</v>
      </c>
      <c r="H770" s="5" t="str">
        <f t="shared" ca="1" si="1"/>
        <v>Johnson Bible College</v>
      </c>
      <c r="I770" s="3" t="str">
        <f t="shared" ca="1" si="2"/>
        <v>'Johnson Bible College',</v>
      </c>
    </row>
    <row r="771" spans="1:9">
      <c r="A771" s="1" t="s">
        <v>769</v>
      </c>
      <c r="B771" s="3" t="str">
        <f ca="1">IFERROR(__xludf.DUMMYFUNCTION("SPLIT(A771,"","")"),"US")</f>
        <v>US</v>
      </c>
      <c r="C771" s="3" t="str">
        <f ca="1">IFERROR(__xludf.DUMMYFUNCTION("""COMPUTED_VALUE"""),"Johnson County Community College")</f>
        <v>Johnson County Community College</v>
      </c>
      <c r="D771" s="4" t="str">
        <f ca="1">IFERROR(__xludf.DUMMYFUNCTION("""COMPUTED_VALUE"""),"http://www.jccc.edu/")</f>
        <v>http://www.jccc.edu/</v>
      </c>
      <c r="G771" s="2" t="str">
        <f t="shared" ca="1" si="0"/>
        <v>Johnson County Community College</v>
      </c>
      <c r="H771" s="5" t="str">
        <f t="shared" ca="1" si="1"/>
        <v>Johnson County Community College</v>
      </c>
      <c r="I771" s="3" t="str">
        <f t="shared" ca="1" si="2"/>
        <v>'Johnson County Community College',</v>
      </c>
    </row>
    <row r="772" spans="1:9">
      <c r="A772" s="1" t="s">
        <v>770</v>
      </c>
      <c r="B772" s="3" t="str">
        <f ca="1">IFERROR(__xludf.DUMMYFUNCTION("SPLIT(A772,"","")"),"US")</f>
        <v>US</v>
      </c>
      <c r="C772" s="3" t="str">
        <f ca="1">IFERROR(__xludf.DUMMYFUNCTION("""COMPUTED_VALUE"""),"Johnson C. Smith University")</f>
        <v>Johnson C. Smith University</v>
      </c>
      <c r="D772" s="4" t="str">
        <f ca="1">IFERROR(__xludf.DUMMYFUNCTION("""COMPUTED_VALUE"""),"http://www.jcsu.edu/")</f>
        <v>http://www.jcsu.edu/</v>
      </c>
      <c r="G772" s="2" t="str">
        <f t="shared" ca="1" si="0"/>
        <v>Johnson C. Smith University</v>
      </c>
      <c r="H772" s="5" t="str">
        <f t="shared" ca="1" si="1"/>
        <v>Johnson C. Smith University</v>
      </c>
      <c r="I772" s="3" t="str">
        <f t="shared" ca="1" si="2"/>
        <v>'Johnson C. Smith University',</v>
      </c>
    </row>
    <row r="773" spans="1:9">
      <c r="A773" s="1" t="s">
        <v>771</v>
      </c>
      <c r="B773" s="3" t="str">
        <f ca="1">IFERROR(__xludf.DUMMYFUNCTION("SPLIT(A773,"","")"),"US")</f>
        <v>US</v>
      </c>
      <c r="C773" s="3" t="str">
        <f ca="1">IFERROR(__xludf.DUMMYFUNCTION("""COMPUTED_VALUE"""),"Johnson State College")</f>
        <v>Johnson State College</v>
      </c>
      <c r="D773" s="4" t="str">
        <f ca="1">IFERROR(__xludf.DUMMYFUNCTION("""COMPUTED_VALUE"""),"http://www.jsc.vsc.edu/")</f>
        <v>http://www.jsc.vsc.edu/</v>
      </c>
      <c r="G773" s="2" t="str">
        <f t="shared" ca="1" si="0"/>
        <v>Johnson State College</v>
      </c>
      <c r="H773" s="5" t="str">
        <f t="shared" ca="1" si="1"/>
        <v>Johnson State College</v>
      </c>
      <c r="I773" s="3" t="str">
        <f t="shared" ca="1" si="2"/>
        <v>'Johnson State College',</v>
      </c>
    </row>
    <row r="774" spans="1:9">
      <c r="A774" s="1" t="s">
        <v>772</v>
      </c>
      <c r="B774" s="3" t="str">
        <f ca="1">IFERROR(__xludf.DUMMYFUNCTION("SPLIT(A774,"","")"),"US")</f>
        <v>US</v>
      </c>
      <c r="C774" s="3" t="str">
        <f ca="1">IFERROR(__xludf.DUMMYFUNCTION("""COMPUTED_VALUE"""),"Johnson &amp; Wales University")</f>
        <v>Johnson &amp; Wales University</v>
      </c>
      <c r="D774" s="4" t="str">
        <f ca="1">IFERROR(__xludf.DUMMYFUNCTION("""COMPUTED_VALUE"""),"http://www.jwu.edu/")</f>
        <v>http://www.jwu.edu/</v>
      </c>
      <c r="G774" s="2" t="str">
        <f t="shared" ca="1" si="0"/>
        <v>Johnson &amp; Wales University</v>
      </c>
      <c r="H774" s="5" t="str">
        <f t="shared" ca="1" si="1"/>
        <v>Johnson &amp; Wales University</v>
      </c>
      <c r="I774" s="3" t="str">
        <f t="shared" ca="1" si="2"/>
        <v>'Johnson &amp; Wales University',</v>
      </c>
    </row>
    <row r="775" spans="1:9">
      <c r="A775" s="1" t="s">
        <v>773</v>
      </c>
      <c r="B775" s="3" t="str">
        <f ca="1">IFERROR(__xludf.DUMMYFUNCTION("SPLIT(A775,"","")"),"US")</f>
        <v>US</v>
      </c>
      <c r="C775" s="3" t="str">
        <f ca="1">IFERROR(__xludf.DUMMYFUNCTION("""COMPUTED_VALUE"""),"""Johnson &amp; Wales University")</f>
        <v>"Johnson &amp; Wales University</v>
      </c>
      <c r="D775" s="3" t="str">
        <f ca="1">IFERROR(__xludf.DUMMYFUNCTION("""COMPUTED_VALUE""")," Charleston""")</f>
        <v xml:space="preserve"> Charleston"</v>
      </c>
      <c r="E775" s="4" t="str">
        <f ca="1">IFERROR(__xludf.DUMMYFUNCTION("""COMPUTED_VALUE"""),"http://www.jwu.edu/charles/camp_charles.htm")</f>
        <v>http://www.jwu.edu/charles/camp_charles.htm</v>
      </c>
      <c r="G775" s="2" t="str">
        <f t="shared" ca="1" si="0"/>
        <v>"Johnson &amp; Wales University</v>
      </c>
      <c r="H775" s="5" t="str">
        <f t="shared" ca="1" si="1"/>
        <v>Johnson &amp; Wales University</v>
      </c>
      <c r="I775" s="3" t="str">
        <f t="shared" ca="1" si="2"/>
        <v>'Johnson &amp; Wales University',</v>
      </c>
    </row>
    <row r="776" spans="1:9">
      <c r="A776" s="1" t="s">
        <v>774</v>
      </c>
      <c r="B776" s="3" t="str">
        <f ca="1">IFERROR(__xludf.DUMMYFUNCTION("SPLIT(A776,"","")"),"US")</f>
        <v>US</v>
      </c>
      <c r="C776" s="3" t="str">
        <f ca="1">IFERROR(__xludf.DUMMYFUNCTION("""COMPUTED_VALUE"""),"John Wesley College")</f>
        <v>John Wesley College</v>
      </c>
      <c r="D776" s="4" t="str">
        <f ca="1">IFERROR(__xludf.DUMMYFUNCTION("""COMPUTED_VALUE"""),"http://www.johnwesley.edu/")</f>
        <v>http://www.johnwesley.edu/</v>
      </c>
      <c r="G776" s="2" t="str">
        <f t="shared" ca="1" si="0"/>
        <v>John Wesley College</v>
      </c>
      <c r="H776" s="5" t="str">
        <f t="shared" ca="1" si="1"/>
        <v>John Wesley College</v>
      </c>
      <c r="I776" s="3" t="str">
        <f t="shared" ca="1" si="2"/>
        <v>'John Wesley College',</v>
      </c>
    </row>
    <row r="777" spans="1:9">
      <c r="A777" s="1" t="s">
        <v>775</v>
      </c>
      <c r="B777" s="3" t="str">
        <f ca="1">IFERROR(__xludf.DUMMYFUNCTION("SPLIT(A777,"","")"),"US")</f>
        <v>US</v>
      </c>
      <c r="C777" s="3" t="str">
        <f ca="1">IFERROR(__xludf.DUMMYFUNCTION("""COMPUTED_VALUE"""),"Jones College")</f>
        <v>Jones College</v>
      </c>
      <c r="D777" s="4" t="str">
        <f ca="1">IFERROR(__xludf.DUMMYFUNCTION("""COMPUTED_VALUE"""),"http://www.jones.edu/")</f>
        <v>http://www.jones.edu/</v>
      </c>
      <c r="G777" s="2" t="str">
        <f t="shared" ca="1" si="0"/>
        <v>Jones College</v>
      </c>
      <c r="H777" s="5" t="str">
        <f t="shared" ca="1" si="1"/>
        <v>Jones College</v>
      </c>
      <c r="I777" s="3" t="str">
        <f t="shared" ca="1" si="2"/>
        <v>'Jones College',</v>
      </c>
    </row>
    <row r="778" spans="1:9">
      <c r="A778" s="1" t="s">
        <v>776</v>
      </c>
      <c r="B778" s="3" t="str">
        <f ca="1">IFERROR(__xludf.DUMMYFUNCTION("SPLIT(A778,"","")"),"US")</f>
        <v>US</v>
      </c>
      <c r="C778" s="3" t="str">
        <f ca="1">IFERROR(__xludf.DUMMYFUNCTION("""COMPUTED_VALUE"""),"Jones International University")</f>
        <v>Jones International University</v>
      </c>
      <c r="D778" s="4" t="str">
        <f ca="1">IFERROR(__xludf.DUMMYFUNCTION("""COMPUTED_VALUE"""),"http://www.jonesinternational.edu/")</f>
        <v>http://www.jonesinternational.edu/</v>
      </c>
      <c r="G778" s="2" t="str">
        <f t="shared" ca="1" si="0"/>
        <v>Jones International University</v>
      </c>
      <c r="H778" s="5" t="str">
        <f t="shared" ca="1" si="1"/>
        <v>Jones International University</v>
      </c>
      <c r="I778" s="3" t="str">
        <f t="shared" ca="1" si="2"/>
        <v>'Jones International University',</v>
      </c>
    </row>
    <row r="779" spans="1:9">
      <c r="A779" s="1" t="s">
        <v>777</v>
      </c>
      <c r="B779" s="3" t="str">
        <f ca="1">IFERROR(__xludf.DUMMYFUNCTION("SPLIT(A779,"","")"),"US")</f>
        <v>US</v>
      </c>
      <c r="C779" s="3" t="str">
        <f ca="1">IFERROR(__xludf.DUMMYFUNCTION("""COMPUTED_VALUE"""),"Judson College Elgin")</f>
        <v>Judson College Elgin</v>
      </c>
      <c r="D779" s="4" t="str">
        <f ca="1">IFERROR(__xludf.DUMMYFUNCTION("""COMPUTED_VALUE"""),"http://www.judson-il.edu/")</f>
        <v>http://www.judson-il.edu/</v>
      </c>
      <c r="G779" s="2" t="str">
        <f t="shared" ca="1" si="0"/>
        <v>Judson College Elgin</v>
      </c>
      <c r="H779" s="5" t="str">
        <f t="shared" ca="1" si="1"/>
        <v>Judson College Elgin</v>
      </c>
      <c r="I779" s="3" t="str">
        <f t="shared" ca="1" si="2"/>
        <v>'Judson College Elgin',</v>
      </c>
    </row>
    <row r="780" spans="1:9">
      <c r="A780" s="1" t="s">
        <v>778</v>
      </c>
      <c r="B780" s="3" t="str">
        <f ca="1">IFERROR(__xludf.DUMMYFUNCTION("SPLIT(A780,"","")"),"US")</f>
        <v>US</v>
      </c>
      <c r="C780" s="3" t="str">
        <f ca="1">IFERROR(__xludf.DUMMYFUNCTION("""COMPUTED_VALUE"""),"Judson College Marion")</f>
        <v>Judson College Marion</v>
      </c>
      <c r="D780" s="4" t="str">
        <f ca="1">IFERROR(__xludf.DUMMYFUNCTION("""COMPUTED_VALUE"""),"http://home.judson.edu/")</f>
        <v>http://home.judson.edu/</v>
      </c>
      <c r="G780" s="2" t="str">
        <f t="shared" ca="1" si="0"/>
        <v>Judson College Marion</v>
      </c>
      <c r="H780" s="5" t="str">
        <f t="shared" ca="1" si="1"/>
        <v>Judson College Marion</v>
      </c>
      <c r="I780" s="3" t="str">
        <f t="shared" ca="1" si="2"/>
        <v>'Judson College Marion',</v>
      </c>
    </row>
    <row r="781" spans="1:9">
      <c r="A781" s="1" t="s">
        <v>779</v>
      </c>
      <c r="B781" s="3" t="str">
        <f ca="1">IFERROR(__xludf.DUMMYFUNCTION("SPLIT(A781,"","")"),"US")</f>
        <v>US</v>
      </c>
      <c r="C781" s="3" t="str">
        <f ca="1">IFERROR(__xludf.DUMMYFUNCTION("""COMPUTED_VALUE"""),"Juniata College")</f>
        <v>Juniata College</v>
      </c>
      <c r="D781" s="4" t="str">
        <f ca="1">IFERROR(__xludf.DUMMYFUNCTION("""COMPUTED_VALUE"""),"http://www.juniata.edu/")</f>
        <v>http://www.juniata.edu/</v>
      </c>
      <c r="G781" s="2" t="str">
        <f t="shared" ca="1" si="0"/>
        <v>Juniata College</v>
      </c>
      <c r="H781" s="5" t="str">
        <f t="shared" ca="1" si="1"/>
        <v>Juniata College</v>
      </c>
      <c r="I781" s="3" t="str">
        <f t="shared" ca="1" si="2"/>
        <v>'Juniata College',</v>
      </c>
    </row>
    <row r="782" spans="1:9">
      <c r="A782" s="1" t="s">
        <v>780</v>
      </c>
      <c r="B782" s="3" t="str">
        <f ca="1">IFERROR(__xludf.DUMMYFUNCTION("SPLIT(A782,"","")"),"US")</f>
        <v>US</v>
      </c>
      <c r="C782" s="3" t="str">
        <f ca="1">IFERROR(__xludf.DUMMYFUNCTION("""COMPUTED_VALUE"""),"Kalamazoo College")</f>
        <v>Kalamazoo College</v>
      </c>
      <c r="D782" s="4" t="str">
        <f ca="1">IFERROR(__xludf.DUMMYFUNCTION("""COMPUTED_VALUE"""),"http://www.kzoo.edu/")</f>
        <v>http://www.kzoo.edu/</v>
      </c>
      <c r="G782" s="2" t="str">
        <f t="shared" ca="1" si="0"/>
        <v>Kalamazoo College</v>
      </c>
      <c r="H782" s="5" t="str">
        <f t="shared" ca="1" si="1"/>
        <v>Kalamazoo College</v>
      </c>
      <c r="I782" s="3" t="str">
        <f t="shared" ca="1" si="2"/>
        <v>'Kalamazoo College',</v>
      </c>
    </row>
    <row r="783" spans="1:9">
      <c r="A783" s="1" t="s">
        <v>781</v>
      </c>
      <c r="B783" s="3" t="str">
        <f ca="1">IFERROR(__xludf.DUMMYFUNCTION("SPLIT(A783,"","")"),"US")</f>
        <v>US</v>
      </c>
      <c r="C783" s="3" t="str">
        <f ca="1">IFERROR(__xludf.DUMMYFUNCTION("""COMPUTED_VALUE"""),"Kankakee Community College")</f>
        <v>Kankakee Community College</v>
      </c>
      <c r="D783" s="4" t="str">
        <f ca="1">IFERROR(__xludf.DUMMYFUNCTION("""COMPUTED_VALUE"""),"http://www.kankakeecc.org/")</f>
        <v>http://www.kankakeecc.org/</v>
      </c>
      <c r="G783" s="2" t="str">
        <f t="shared" ca="1" si="0"/>
        <v>Kankakee Community College</v>
      </c>
      <c r="H783" s="5" t="str">
        <f t="shared" ca="1" si="1"/>
        <v>Kankakee Community College</v>
      </c>
      <c r="I783" s="3" t="str">
        <f t="shared" ca="1" si="2"/>
        <v>'Kankakee Community College',</v>
      </c>
    </row>
    <row r="784" spans="1:9">
      <c r="A784" s="1" t="s">
        <v>782</v>
      </c>
      <c r="B784" s="3" t="str">
        <f ca="1">IFERROR(__xludf.DUMMYFUNCTION("SPLIT(A784,"","")"),"US")</f>
        <v>US</v>
      </c>
      <c r="C784" s="3" t="str">
        <f ca="1">IFERROR(__xludf.DUMMYFUNCTION("""COMPUTED_VALUE"""),"Kansas City Art Institute")</f>
        <v>Kansas City Art Institute</v>
      </c>
      <c r="D784" s="4" t="str">
        <f ca="1">IFERROR(__xludf.DUMMYFUNCTION("""COMPUTED_VALUE"""),"http://www.kcai.edu/")</f>
        <v>http://www.kcai.edu/</v>
      </c>
      <c r="G784" s="2" t="str">
        <f t="shared" ca="1" si="0"/>
        <v>Kansas City Art Institute</v>
      </c>
      <c r="H784" s="5" t="str">
        <f t="shared" ca="1" si="1"/>
        <v>Kansas City Art Institute</v>
      </c>
      <c r="I784" s="3" t="str">
        <f t="shared" ca="1" si="2"/>
        <v>'Kansas City Art Institute',</v>
      </c>
    </row>
    <row r="785" spans="1:9">
      <c r="A785" s="1" t="s">
        <v>783</v>
      </c>
      <c r="B785" s="3" t="str">
        <f ca="1">IFERROR(__xludf.DUMMYFUNCTION("SPLIT(A785,"","")"),"US")</f>
        <v>US</v>
      </c>
      <c r="C785" s="3" t="str">
        <f ca="1">IFERROR(__xludf.DUMMYFUNCTION("""COMPUTED_VALUE"""),"Kansas State University")</f>
        <v>Kansas State University</v>
      </c>
      <c r="D785" s="4" t="str">
        <f ca="1">IFERROR(__xludf.DUMMYFUNCTION("""COMPUTED_VALUE"""),"http://www.ksu.edu/")</f>
        <v>http://www.ksu.edu/</v>
      </c>
      <c r="G785" s="2" t="str">
        <f t="shared" ca="1" si="0"/>
        <v>Kansas State University</v>
      </c>
      <c r="H785" s="5" t="str">
        <f t="shared" ca="1" si="1"/>
        <v>Kansas State University</v>
      </c>
      <c r="I785" s="3" t="str">
        <f t="shared" ca="1" si="2"/>
        <v>'Kansas State University',</v>
      </c>
    </row>
    <row r="786" spans="1:9">
      <c r="A786" s="1" t="s">
        <v>784</v>
      </c>
      <c r="B786" s="3" t="str">
        <f ca="1">IFERROR(__xludf.DUMMYFUNCTION("SPLIT(A786,"","")"),"US")</f>
        <v>US</v>
      </c>
      <c r="C786" s="3" t="str">
        <f ca="1">IFERROR(__xludf.DUMMYFUNCTION("""COMPUTED_VALUE"""),"Kansas Wesleyan University")</f>
        <v>Kansas Wesleyan University</v>
      </c>
      <c r="D786" s="4" t="str">
        <f ca="1">IFERROR(__xludf.DUMMYFUNCTION("""COMPUTED_VALUE"""),"http://www.kwu.edu/")</f>
        <v>http://www.kwu.edu/</v>
      </c>
      <c r="G786" s="2" t="str">
        <f t="shared" ca="1" si="0"/>
        <v>Kansas Wesleyan University</v>
      </c>
      <c r="H786" s="5" t="str">
        <f t="shared" ca="1" si="1"/>
        <v>Kansas Wesleyan University</v>
      </c>
      <c r="I786" s="3" t="str">
        <f t="shared" ca="1" si="2"/>
        <v>'Kansas Wesleyan University',</v>
      </c>
    </row>
    <row r="787" spans="1:9">
      <c r="A787" s="1" t="s">
        <v>785</v>
      </c>
      <c r="B787" s="3" t="str">
        <f ca="1">IFERROR(__xludf.DUMMYFUNCTION("SPLIT(A787,"","")"),"US")</f>
        <v>US</v>
      </c>
      <c r="C787" s="3" t="str">
        <f ca="1">IFERROR(__xludf.DUMMYFUNCTION("""COMPUTED_VALUE"""),"Kaplan University")</f>
        <v>Kaplan University</v>
      </c>
      <c r="D787" s="4" t="str">
        <f ca="1">IFERROR(__xludf.DUMMYFUNCTION("""COMPUTED_VALUE"""),"http://www.kaplan.edu/")</f>
        <v>http://www.kaplan.edu/</v>
      </c>
      <c r="G787" s="2" t="str">
        <f t="shared" ca="1" si="0"/>
        <v>Kaplan University</v>
      </c>
      <c r="H787" s="5" t="str">
        <f t="shared" ca="1" si="1"/>
        <v>Kaplan University</v>
      </c>
      <c r="I787" s="3" t="str">
        <f t="shared" ca="1" si="2"/>
        <v>'Kaplan University',</v>
      </c>
    </row>
    <row r="788" spans="1:9">
      <c r="A788" s="1" t="s">
        <v>786</v>
      </c>
      <c r="B788" s="3" t="str">
        <f ca="1">IFERROR(__xludf.DUMMYFUNCTION("SPLIT(A788,"","")"),"US")</f>
        <v>US</v>
      </c>
      <c r="C788" s="3" t="str">
        <f ca="1">IFERROR(__xludf.DUMMYFUNCTION("""COMPUTED_VALUE"""),"Katharine Gibbs School")</f>
        <v>Katharine Gibbs School</v>
      </c>
      <c r="D788" s="4" t="str">
        <f ca="1">IFERROR(__xludf.DUMMYFUNCTION("""COMPUTED_VALUE"""),"http://www.kgibbs.com/")</f>
        <v>http://www.kgibbs.com/</v>
      </c>
      <c r="G788" s="2" t="str">
        <f t="shared" ca="1" si="0"/>
        <v>Katharine Gibbs School</v>
      </c>
      <c r="H788" s="5" t="str">
        <f t="shared" ca="1" si="1"/>
        <v>Katharine Gibbs School</v>
      </c>
      <c r="I788" s="3" t="str">
        <f t="shared" ca="1" si="2"/>
        <v>'Katharine Gibbs School',</v>
      </c>
    </row>
    <row r="789" spans="1:9">
      <c r="A789" s="1" t="s">
        <v>787</v>
      </c>
      <c r="B789" s="3" t="str">
        <f ca="1">IFERROR(__xludf.DUMMYFUNCTION("SPLIT(A789,"","")"),"US")</f>
        <v>US</v>
      </c>
      <c r="C789" s="3" t="str">
        <f ca="1">IFERROR(__xludf.DUMMYFUNCTION("""COMPUTED_VALUE"""),"Kean University of New Jersey")</f>
        <v>Kean University of New Jersey</v>
      </c>
      <c r="D789" s="4" t="str">
        <f ca="1">IFERROR(__xludf.DUMMYFUNCTION("""COMPUTED_VALUE"""),"http://www.kean.edu/")</f>
        <v>http://www.kean.edu/</v>
      </c>
      <c r="G789" s="2" t="str">
        <f t="shared" ca="1" si="0"/>
        <v>Kean University of New Jersey</v>
      </c>
      <c r="H789" s="5" t="str">
        <f t="shared" ca="1" si="1"/>
        <v>Kean University of New Jersey</v>
      </c>
      <c r="I789" s="3" t="str">
        <f t="shared" ca="1" si="2"/>
        <v>'Kean University of New Jersey',</v>
      </c>
    </row>
    <row r="790" spans="1:9">
      <c r="A790" s="1" t="s">
        <v>788</v>
      </c>
      <c r="B790" s="3" t="str">
        <f ca="1">IFERROR(__xludf.DUMMYFUNCTION("SPLIT(A790,"","")"),"US")</f>
        <v>US</v>
      </c>
      <c r="C790" s="3" t="str">
        <f ca="1">IFERROR(__xludf.DUMMYFUNCTION("""COMPUTED_VALUE"""),"Keck Graduate Institute of Applied Life Sciences")</f>
        <v>Keck Graduate Institute of Applied Life Sciences</v>
      </c>
      <c r="D790" s="4" t="str">
        <f ca="1">IFERROR(__xludf.DUMMYFUNCTION("""COMPUTED_VALUE"""),"http://www.kgi.edu/")</f>
        <v>http://www.kgi.edu/</v>
      </c>
      <c r="G790" s="2" t="str">
        <f t="shared" ca="1" si="0"/>
        <v>Keck Graduate Institute of Applied Life Sciences</v>
      </c>
      <c r="H790" s="5" t="str">
        <f t="shared" ca="1" si="1"/>
        <v>Keck Graduate Institute of Applied Life Sciences</v>
      </c>
      <c r="I790" s="3" t="str">
        <f t="shared" ca="1" si="2"/>
        <v>'Keck Graduate Institute of Applied Life Sciences',</v>
      </c>
    </row>
    <row r="791" spans="1:9">
      <c r="A791" s="1" t="s">
        <v>789</v>
      </c>
      <c r="B791" s="3" t="str">
        <f ca="1">IFERROR(__xludf.DUMMYFUNCTION("SPLIT(A791,"","")"),"US")</f>
        <v>US</v>
      </c>
      <c r="C791" s="3" t="str">
        <f ca="1">IFERROR(__xludf.DUMMYFUNCTION("""COMPUTED_VALUE"""),"Keene State College")</f>
        <v>Keene State College</v>
      </c>
      <c r="D791" s="4" t="str">
        <f ca="1">IFERROR(__xludf.DUMMYFUNCTION("""COMPUTED_VALUE"""),"http://www.keene.edu/")</f>
        <v>http://www.keene.edu/</v>
      </c>
      <c r="G791" s="2" t="str">
        <f t="shared" ca="1" si="0"/>
        <v>Keene State College</v>
      </c>
      <c r="H791" s="5" t="str">
        <f t="shared" ca="1" si="1"/>
        <v>Keene State College</v>
      </c>
      <c r="I791" s="3" t="str">
        <f t="shared" ca="1" si="2"/>
        <v>'Keene State College',</v>
      </c>
    </row>
    <row r="792" spans="1:9">
      <c r="A792" s="1" t="s">
        <v>790</v>
      </c>
      <c r="B792" s="3" t="str">
        <f ca="1">IFERROR(__xludf.DUMMYFUNCTION("SPLIT(A792,"","")"),"US")</f>
        <v>US</v>
      </c>
      <c r="C792" s="3" t="str">
        <f ca="1">IFERROR(__xludf.DUMMYFUNCTION("""COMPUTED_VALUE"""),"Keller Graduate School of Management")</f>
        <v>Keller Graduate School of Management</v>
      </c>
      <c r="D792" s="4" t="str">
        <f ca="1">IFERROR(__xludf.DUMMYFUNCTION("""COMPUTED_VALUE"""),"http://www.keller.edu/")</f>
        <v>http://www.keller.edu/</v>
      </c>
      <c r="G792" s="2" t="str">
        <f t="shared" ca="1" si="0"/>
        <v>Keller Graduate School of Management</v>
      </c>
      <c r="H792" s="5" t="str">
        <f t="shared" ca="1" si="1"/>
        <v>Keller Graduate School of Management</v>
      </c>
      <c r="I792" s="3" t="str">
        <f t="shared" ca="1" si="2"/>
        <v>'Keller Graduate School of Management',</v>
      </c>
    </row>
    <row r="793" spans="1:9">
      <c r="A793" s="1" t="s">
        <v>791</v>
      </c>
      <c r="B793" s="3" t="str">
        <f ca="1">IFERROR(__xludf.DUMMYFUNCTION("SPLIT(A793,"","")"),"US")</f>
        <v>US</v>
      </c>
      <c r="C793" s="3" t="str">
        <f ca="1">IFERROR(__xludf.DUMMYFUNCTION("""COMPUTED_VALUE"""),"Kendall College")</f>
        <v>Kendall College</v>
      </c>
      <c r="D793" s="4" t="str">
        <f ca="1">IFERROR(__xludf.DUMMYFUNCTION("""COMPUTED_VALUE"""),"http://www.kendall.edu/")</f>
        <v>http://www.kendall.edu/</v>
      </c>
      <c r="G793" s="2" t="str">
        <f t="shared" ca="1" si="0"/>
        <v>Kendall College</v>
      </c>
      <c r="H793" s="5" t="str">
        <f t="shared" ca="1" si="1"/>
        <v>Kendall College</v>
      </c>
      <c r="I793" s="3" t="str">
        <f t="shared" ca="1" si="2"/>
        <v>'Kendall College',</v>
      </c>
    </row>
    <row r="794" spans="1:9">
      <c r="A794" s="1" t="s">
        <v>792</v>
      </c>
      <c r="B794" s="3" t="str">
        <f ca="1">IFERROR(__xludf.DUMMYFUNCTION("SPLIT(A794,"","")"),"US")</f>
        <v>US</v>
      </c>
      <c r="C794" s="3" t="str">
        <f ca="1">IFERROR(__xludf.DUMMYFUNCTION("""COMPUTED_VALUE"""),"Kendall College of Art and Design")</f>
        <v>Kendall College of Art and Design</v>
      </c>
      <c r="D794" s="4" t="str">
        <f ca="1">IFERROR(__xludf.DUMMYFUNCTION("""COMPUTED_VALUE"""),"http://www.kcad.edu/")</f>
        <v>http://www.kcad.edu/</v>
      </c>
      <c r="G794" s="2" t="str">
        <f t="shared" ca="1" si="0"/>
        <v>Kendall College of Art and Design</v>
      </c>
      <c r="H794" s="5" t="str">
        <f t="shared" ca="1" si="1"/>
        <v>Kendall College of Art and Design</v>
      </c>
      <c r="I794" s="3" t="str">
        <f t="shared" ca="1" si="2"/>
        <v>'Kendall College of Art and Design',</v>
      </c>
    </row>
    <row r="795" spans="1:9">
      <c r="A795" s="1" t="s">
        <v>793</v>
      </c>
      <c r="B795" s="3" t="str">
        <f ca="1">IFERROR(__xludf.DUMMYFUNCTION("SPLIT(A795,"","")"),"US")</f>
        <v>US</v>
      </c>
      <c r="C795" s="3" t="str">
        <f ca="1">IFERROR(__xludf.DUMMYFUNCTION("""COMPUTED_VALUE"""),"Kennesaw State University")</f>
        <v>Kennesaw State University</v>
      </c>
      <c r="D795" s="4" t="str">
        <f ca="1">IFERROR(__xludf.DUMMYFUNCTION("""COMPUTED_VALUE"""),"http://www.kennesaw.edu/")</f>
        <v>http://www.kennesaw.edu/</v>
      </c>
      <c r="G795" s="2" t="str">
        <f t="shared" ca="1" si="0"/>
        <v>Kennesaw State University</v>
      </c>
      <c r="H795" s="5" t="str">
        <f t="shared" ca="1" si="1"/>
        <v>Kennesaw State University</v>
      </c>
      <c r="I795" s="3" t="str">
        <f t="shared" ca="1" si="2"/>
        <v>'Kennesaw State University',</v>
      </c>
    </row>
    <row r="796" spans="1:9">
      <c r="A796" s="1" t="s">
        <v>794</v>
      </c>
      <c r="B796" s="3" t="str">
        <f ca="1">IFERROR(__xludf.DUMMYFUNCTION("SPLIT(A796,"","")"),"US")</f>
        <v>US</v>
      </c>
      <c r="C796" s="3" t="str">
        <f ca="1">IFERROR(__xludf.DUMMYFUNCTION("""COMPUTED_VALUE"""),"Kent State University")</f>
        <v>Kent State University</v>
      </c>
      <c r="D796" s="4" t="str">
        <f ca="1">IFERROR(__xludf.DUMMYFUNCTION("""COMPUTED_VALUE"""),"http://www.kent.edu/")</f>
        <v>http://www.kent.edu/</v>
      </c>
      <c r="G796" s="2" t="str">
        <f t="shared" ca="1" si="0"/>
        <v>Kent State University</v>
      </c>
      <c r="H796" s="5" t="str">
        <f t="shared" ca="1" si="1"/>
        <v>Kent State University</v>
      </c>
      <c r="I796" s="3" t="str">
        <f t="shared" ca="1" si="2"/>
        <v>'Kent State University',</v>
      </c>
    </row>
    <row r="797" spans="1:9">
      <c r="A797" s="1" t="s">
        <v>795</v>
      </c>
      <c r="B797" s="3" t="str">
        <f ca="1">IFERROR(__xludf.DUMMYFUNCTION("SPLIT(A797,"","")"),"US")</f>
        <v>US</v>
      </c>
      <c r="C797" s="3" t="str">
        <f ca="1">IFERROR(__xludf.DUMMYFUNCTION("""COMPUTED_VALUE"""),"Kent State University - Ashtabula")</f>
        <v>Kent State University - Ashtabula</v>
      </c>
      <c r="D797" s="4" t="str">
        <f ca="1">IFERROR(__xludf.DUMMYFUNCTION("""COMPUTED_VALUE"""),"http://www.ashtabula.kent.edu/")</f>
        <v>http://www.ashtabula.kent.edu/</v>
      </c>
      <c r="G797" s="2" t="str">
        <f t="shared" ca="1" si="0"/>
        <v>Kent State University - Ashtabula</v>
      </c>
      <c r="H797" s="5" t="str">
        <f t="shared" ca="1" si="1"/>
        <v>Kent State University - Ashtabula</v>
      </c>
      <c r="I797" s="3" t="str">
        <f t="shared" ca="1" si="2"/>
        <v>'Kent State University - Ashtabula',</v>
      </c>
    </row>
    <row r="798" spans="1:9">
      <c r="A798" s="1" t="s">
        <v>796</v>
      </c>
      <c r="B798" s="3" t="str">
        <f ca="1">IFERROR(__xludf.DUMMYFUNCTION("SPLIT(A798,"","")"),"US")</f>
        <v>US</v>
      </c>
      <c r="C798" s="3" t="str">
        <f ca="1">IFERROR(__xludf.DUMMYFUNCTION("""COMPUTED_VALUE"""),"Kent State University - East Liverpool")</f>
        <v>Kent State University - East Liverpool</v>
      </c>
      <c r="D798" s="4" t="str">
        <f ca="1">IFERROR(__xludf.DUMMYFUNCTION("""COMPUTED_VALUE"""),"http://www.kenteliv.kent.edu/")</f>
        <v>http://www.kenteliv.kent.edu/</v>
      </c>
      <c r="G798" s="2" t="str">
        <f t="shared" ca="1" si="0"/>
        <v>Kent State University - East Liverpool</v>
      </c>
      <c r="H798" s="5" t="str">
        <f t="shared" ca="1" si="1"/>
        <v>Kent State University - East Liverpool</v>
      </c>
      <c r="I798" s="3" t="str">
        <f t="shared" ca="1" si="2"/>
        <v>'Kent State University - East Liverpool',</v>
      </c>
    </row>
    <row r="799" spans="1:9">
      <c r="A799" s="1" t="s">
        <v>797</v>
      </c>
      <c r="B799" s="3" t="str">
        <f ca="1">IFERROR(__xludf.DUMMYFUNCTION("SPLIT(A799,"","")"),"US")</f>
        <v>US</v>
      </c>
      <c r="C799" s="3" t="str">
        <f ca="1">IFERROR(__xludf.DUMMYFUNCTION("""COMPUTED_VALUE"""),"Kent State University - Salem")</f>
        <v>Kent State University - Salem</v>
      </c>
      <c r="D799" s="4" t="str">
        <f ca="1">IFERROR(__xludf.DUMMYFUNCTION("""COMPUTED_VALUE"""),"http://www.salem.kent.edu/")</f>
        <v>http://www.salem.kent.edu/</v>
      </c>
      <c r="G799" s="2" t="str">
        <f t="shared" ca="1" si="0"/>
        <v>Kent State University - Salem</v>
      </c>
      <c r="H799" s="5" t="str">
        <f t="shared" ca="1" si="1"/>
        <v>Kent State University - Salem</v>
      </c>
      <c r="I799" s="3" t="str">
        <f t="shared" ca="1" si="2"/>
        <v>'Kent State University - Salem',</v>
      </c>
    </row>
    <row r="800" spans="1:9">
      <c r="A800" s="1" t="s">
        <v>798</v>
      </c>
      <c r="B800" s="3" t="str">
        <f ca="1">IFERROR(__xludf.DUMMYFUNCTION("SPLIT(A800,"","")"),"US")</f>
        <v>US</v>
      </c>
      <c r="C800" s="3" t="str">
        <f ca="1">IFERROR(__xludf.DUMMYFUNCTION("""COMPUTED_VALUE"""),"Kent State University - Stark")</f>
        <v>Kent State University - Stark</v>
      </c>
      <c r="D800" s="4" t="str">
        <f ca="1">IFERROR(__xludf.DUMMYFUNCTION("""COMPUTED_VALUE"""),"http://www.stark.kent.edu/")</f>
        <v>http://www.stark.kent.edu/</v>
      </c>
      <c r="G800" s="2" t="str">
        <f t="shared" ca="1" si="0"/>
        <v>Kent State University - Stark</v>
      </c>
      <c r="H800" s="5" t="str">
        <f t="shared" ca="1" si="1"/>
        <v>Kent State University - Stark</v>
      </c>
      <c r="I800" s="3" t="str">
        <f t="shared" ca="1" si="2"/>
        <v>'Kent State University - Stark',</v>
      </c>
    </row>
    <row r="801" spans="1:9">
      <c r="A801" s="1" t="s">
        <v>799</v>
      </c>
      <c r="B801" s="3" t="str">
        <f ca="1">IFERROR(__xludf.DUMMYFUNCTION("SPLIT(A801,"","")"),"US")</f>
        <v>US</v>
      </c>
      <c r="C801" s="3" t="str">
        <f ca="1">IFERROR(__xludf.DUMMYFUNCTION("""COMPUTED_VALUE"""),"Kent State University - Trumbull")</f>
        <v>Kent State University - Trumbull</v>
      </c>
      <c r="D801" s="4" t="str">
        <f ca="1">IFERROR(__xludf.DUMMYFUNCTION("""COMPUTED_VALUE"""),"http://www.trumbull.kent.edu/")</f>
        <v>http://www.trumbull.kent.edu/</v>
      </c>
      <c r="G801" s="2" t="str">
        <f t="shared" ca="1" si="0"/>
        <v>Kent State University - Trumbull</v>
      </c>
      <c r="H801" s="5" t="str">
        <f t="shared" ca="1" si="1"/>
        <v>Kent State University - Trumbull</v>
      </c>
      <c r="I801" s="3" t="str">
        <f t="shared" ca="1" si="2"/>
        <v>'Kent State University - Trumbull',</v>
      </c>
    </row>
    <row r="802" spans="1:9">
      <c r="A802" s="1" t="s">
        <v>800</v>
      </c>
      <c r="B802" s="3" t="str">
        <f ca="1">IFERROR(__xludf.DUMMYFUNCTION("SPLIT(A802,"","")"),"US")</f>
        <v>US</v>
      </c>
      <c r="C802" s="3" t="str">
        <f ca="1">IFERROR(__xludf.DUMMYFUNCTION("""COMPUTED_VALUE"""),"Kent State University - Tuscarawas")</f>
        <v>Kent State University - Tuscarawas</v>
      </c>
      <c r="D802" s="4" t="str">
        <f ca="1">IFERROR(__xludf.DUMMYFUNCTION("""COMPUTED_VALUE"""),"http://www.tusc.kent.edu/")</f>
        <v>http://www.tusc.kent.edu/</v>
      </c>
      <c r="G802" s="2" t="str">
        <f t="shared" ca="1" si="0"/>
        <v>Kent State University - Tuscarawas</v>
      </c>
      <c r="H802" s="5" t="str">
        <f t="shared" ca="1" si="1"/>
        <v>Kent State University - Tuscarawas</v>
      </c>
      <c r="I802" s="3" t="str">
        <f t="shared" ca="1" si="2"/>
        <v>'Kent State University - Tuscarawas',</v>
      </c>
    </row>
    <row r="803" spans="1:9">
      <c r="A803" s="1" t="s">
        <v>801</v>
      </c>
      <c r="B803" s="3" t="str">
        <f ca="1">IFERROR(__xludf.DUMMYFUNCTION("SPLIT(A803,"","")"),"US")</f>
        <v>US</v>
      </c>
      <c r="C803" s="3" t="str">
        <f ca="1">IFERROR(__xludf.DUMMYFUNCTION("""COMPUTED_VALUE"""),"Kentucky Christian College")</f>
        <v>Kentucky Christian College</v>
      </c>
      <c r="D803" s="4" t="str">
        <f ca="1">IFERROR(__xludf.DUMMYFUNCTION("""COMPUTED_VALUE"""),"http://www.kcc.edu/")</f>
        <v>http://www.kcc.edu/</v>
      </c>
      <c r="G803" s="2" t="str">
        <f t="shared" ca="1" si="0"/>
        <v>Kentucky Christian College</v>
      </c>
      <c r="H803" s="5" t="str">
        <f t="shared" ca="1" si="1"/>
        <v>Kentucky Christian College</v>
      </c>
      <c r="I803" s="3" t="str">
        <f t="shared" ca="1" si="2"/>
        <v>'Kentucky Christian College',</v>
      </c>
    </row>
    <row r="804" spans="1:9">
      <c r="A804" s="1" t="s">
        <v>802</v>
      </c>
      <c r="B804" s="3" t="str">
        <f ca="1">IFERROR(__xludf.DUMMYFUNCTION("SPLIT(A804,"","")"),"US")</f>
        <v>US</v>
      </c>
      <c r="C804" s="3" t="str">
        <f ca="1">IFERROR(__xludf.DUMMYFUNCTION("""COMPUTED_VALUE"""),"Kentucky State University")</f>
        <v>Kentucky State University</v>
      </c>
      <c r="D804" s="4" t="str">
        <f ca="1">IFERROR(__xludf.DUMMYFUNCTION("""COMPUTED_VALUE"""),"http://www.kysu.edu/")</f>
        <v>http://www.kysu.edu/</v>
      </c>
      <c r="G804" s="2" t="str">
        <f t="shared" ca="1" si="0"/>
        <v>Kentucky State University</v>
      </c>
      <c r="H804" s="5" t="str">
        <f t="shared" ca="1" si="1"/>
        <v>Kentucky State University</v>
      </c>
      <c r="I804" s="3" t="str">
        <f t="shared" ca="1" si="2"/>
        <v>'Kentucky State University',</v>
      </c>
    </row>
    <row r="805" spans="1:9">
      <c r="A805" s="1" t="s">
        <v>803</v>
      </c>
      <c r="B805" s="3" t="str">
        <f ca="1">IFERROR(__xludf.DUMMYFUNCTION("SPLIT(A805,"","")"),"US")</f>
        <v>US</v>
      </c>
      <c r="C805" s="3" t="str">
        <f ca="1">IFERROR(__xludf.DUMMYFUNCTION("""COMPUTED_VALUE"""),"Kentucky Wesleyan College")</f>
        <v>Kentucky Wesleyan College</v>
      </c>
      <c r="D805" s="4" t="str">
        <f ca="1">IFERROR(__xludf.DUMMYFUNCTION("""COMPUTED_VALUE"""),"http://www.kwc.edu/")</f>
        <v>http://www.kwc.edu/</v>
      </c>
      <c r="G805" s="2" t="str">
        <f t="shared" ca="1" si="0"/>
        <v>Kentucky Wesleyan College</v>
      </c>
      <c r="H805" s="5" t="str">
        <f t="shared" ca="1" si="1"/>
        <v>Kentucky Wesleyan College</v>
      </c>
      <c r="I805" s="3" t="str">
        <f t="shared" ca="1" si="2"/>
        <v>'Kentucky Wesleyan College',</v>
      </c>
    </row>
    <row r="806" spans="1:9">
      <c r="A806" s="1" t="s">
        <v>804</v>
      </c>
      <c r="B806" s="3" t="str">
        <f ca="1">IFERROR(__xludf.DUMMYFUNCTION("SPLIT(A806,"","")"),"US")</f>
        <v>US</v>
      </c>
      <c r="C806" s="3" t="str">
        <f ca="1">IFERROR(__xludf.DUMMYFUNCTION("""COMPUTED_VALUE"""),"Kenyon College")</f>
        <v>Kenyon College</v>
      </c>
      <c r="D806" s="4" t="str">
        <f ca="1">IFERROR(__xludf.DUMMYFUNCTION("""COMPUTED_VALUE"""),"http://www.kenyon.edu/")</f>
        <v>http://www.kenyon.edu/</v>
      </c>
      <c r="G806" s="2" t="str">
        <f t="shared" ca="1" si="0"/>
        <v>Kenyon College</v>
      </c>
      <c r="H806" s="5" t="str">
        <f t="shared" ca="1" si="1"/>
        <v>Kenyon College</v>
      </c>
      <c r="I806" s="3" t="str">
        <f t="shared" ca="1" si="2"/>
        <v>'Kenyon College',</v>
      </c>
    </row>
    <row r="807" spans="1:9">
      <c r="A807" s="1" t="s">
        <v>805</v>
      </c>
      <c r="B807" s="3" t="str">
        <f ca="1">IFERROR(__xludf.DUMMYFUNCTION("SPLIT(A807,"","")"),"US")</f>
        <v>US</v>
      </c>
      <c r="C807" s="3" t="str">
        <f ca="1">IFERROR(__xludf.DUMMYFUNCTION("""COMPUTED_VALUE"""),"Kettering University (GMI)")</f>
        <v>Kettering University (GMI)</v>
      </c>
      <c r="D807" s="4" t="str">
        <f ca="1">IFERROR(__xludf.DUMMYFUNCTION("""COMPUTED_VALUE"""),"http://www.kettering.edu/")</f>
        <v>http://www.kettering.edu/</v>
      </c>
      <c r="G807" s="2" t="str">
        <f t="shared" ca="1" si="0"/>
        <v>Kettering University (GMI)</v>
      </c>
      <c r="H807" s="5" t="str">
        <f t="shared" ca="1" si="1"/>
        <v>Kettering University (GMI)</v>
      </c>
      <c r="I807" s="3" t="str">
        <f t="shared" ca="1" si="2"/>
        <v>'Kettering University (GMI)',</v>
      </c>
    </row>
    <row r="808" spans="1:9">
      <c r="A808" s="1" t="s">
        <v>806</v>
      </c>
      <c r="B808" s="3" t="str">
        <f ca="1">IFERROR(__xludf.DUMMYFUNCTION("SPLIT(A808,"","")"),"US")</f>
        <v>US</v>
      </c>
      <c r="C808" s="3" t="str">
        <f ca="1">IFERROR(__xludf.DUMMYFUNCTION("""COMPUTED_VALUE"""),"Keuka College")</f>
        <v>Keuka College</v>
      </c>
      <c r="D808" s="4" t="str">
        <f ca="1">IFERROR(__xludf.DUMMYFUNCTION("""COMPUTED_VALUE"""),"http://www.keuka.edu/")</f>
        <v>http://www.keuka.edu/</v>
      </c>
      <c r="G808" s="2" t="str">
        <f t="shared" ca="1" si="0"/>
        <v>Keuka College</v>
      </c>
      <c r="H808" s="5" t="str">
        <f t="shared" ca="1" si="1"/>
        <v>Keuka College</v>
      </c>
      <c r="I808" s="3" t="str">
        <f t="shared" ca="1" si="2"/>
        <v>'Keuka College',</v>
      </c>
    </row>
    <row r="809" spans="1:9">
      <c r="A809" s="1" t="s">
        <v>807</v>
      </c>
      <c r="B809" s="3" t="str">
        <f ca="1">IFERROR(__xludf.DUMMYFUNCTION("SPLIT(A809,"","")"),"US")</f>
        <v>US</v>
      </c>
      <c r="C809" s="3" t="str">
        <f ca="1">IFERROR(__xludf.DUMMYFUNCTION("""COMPUTED_VALUE"""),"King College")</f>
        <v>King College</v>
      </c>
      <c r="D809" s="4" t="str">
        <f ca="1">IFERROR(__xludf.DUMMYFUNCTION("""COMPUTED_VALUE"""),"http://www.king.edu/")</f>
        <v>http://www.king.edu/</v>
      </c>
      <c r="G809" s="2" t="str">
        <f t="shared" ca="1" si="0"/>
        <v>King College</v>
      </c>
      <c r="H809" s="5" t="str">
        <f t="shared" ca="1" si="1"/>
        <v>King College</v>
      </c>
      <c r="I809" s="3" t="str">
        <f t="shared" ca="1" si="2"/>
        <v>'King College',</v>
      </c>
    </row>
    <row r="810" spans="1:9">
      <c r="A810" s="1" t="s">
        <v>808</v>
      </c>
      <c r="B810" s="3" t="str">
        <f ca="1">IFERROR(__xludf.DUMMYFUNCTION("SPLIT(A810,"","")"),"US")</f>
        <v>US</v>
      </c>
      <c r="C810" s="3" t="str">
        <f ca="1">IFERROR(__xludf.DUMMYFUNCTION("""COMPUTED_VALUE"""),"King's College")</f>
        <v>King's College</v>
      </c>
      <c r="D810" s="4" t="str">
        <f ca="1">IFERROR(__xludf.DUMMYFUNCTION("""COMPUTED_VALUE"""),"http://www.kings.edu/")</f>
        <v>http://www.kings.edu/</v>
      </c>
      <c r="G810" s="2" t="str">
        <f t="shared" ca="1" si="0"/>
        <v>King's College</v>
      </c>
      <c r="H810" s="5" t="str">
        <f t="shared" ca="1" si="1"/>
        <v>King's College</v>
      </c>
      <c r="I810" s="3" t="str">
        <f t="shared" ca="1" si="2"/>
        <v>'King's College',</v>
      </c>
    </row>
    <row r="811" spans="1:9">
      <c r="A811" s="1" t="s">
        <v>809</v>
      </c>
      <c r="B811" s="3" t="str">
        <f ca="1">IFERROR(__xludf.DUMMYFUNCTION("SPLIT(A811,"","")"),"US")</f>
        <v>US</v>
      </c>
      <c r="C811" s="3" t="str">
        <f ca="1">IFERROR(__xludf.DUMMYFUNCTION("""COMPUTED_VALUE"""),"Kirksville College of Osteopathic Medicine")</f>
        <v>Kirksville College of Osteopathic Medicine</v>
      </c>
      <c r="D811" s="4" t="str">
        <f ca="1">IFERROR(__xludf.DUMMYFUNCTION("""COMPUTED_VALUE"""),"http://www.kcom.edu/")</f>
        <v>http://www.kcom.edu/</v>
      </c>
      <c r="G811" s="2" t="str">
        <f t="shared" ca="1" si="0"/>
        <v>Kirksville College of Osteopathic Medicine</v>
      </c>
      <c r="H811" s="5" t="str">
        <f t="shared" ca="1" si="1"/>
        <v>Kirksville College of Osteopathic Medicine</v>
      </c>
      <c r="I811" s="3" t="str">
        <f t="shared" ca="1" si="2"/>
        <v>'Kirksville College of Osteopathic Medicine',</v>
      </c>
    </row>
    <row r="812" spans="1:9">
      <c r="A812" s="1" t="s">
        <v>810</v>
      </c>
      <c r="B812" s="3" t="str">
        <f ca="1">IFERROR(__xludf.DUMMYFUNCTION("SPLIT(A812,"","")"),"US")</f>
        <v>US</v>
      </c>
      <c r="C812" s="3" t="str">
        <f ca="1">IFERROR(__xludf.DUMMYFUNCTION("""COMPUTED_VALUE"""),"Kirkwood Community College")</f>
        <v>Kirkwood Community College</v>
      </c>
      <c r="D812" s="4" t="str">
        <f ca="1">IFERROR(__xludf.DUMMYFUNCTION("""COMPUTED_VALUE"""),"http://www.kirkwood.edu/")</f>
        <v>http://www.kirkwood.edu/</v>
      </c>
      <c r="G812" s="2" t="str">
        <f t="shared" ca="1" si="0"/>
        <v>Kirkwood Community College</v>
      </c>
      <c r="H812" s="5" t="str">
        <f t="shared" ca="1" si="1"/>
        <v>Kirkwood Community College</v>
      </c>
      <c r="I812" s="3" t="str">
        <f t="shared" ca="1" si="2"/>
        <v>'Kirkwood Community College',</v>
      </c>
    </row>
    <row r="813" spans="1:9">
      <c r="A813" s="1" t="s">
        <v>811</v>
      </c>
      <c r="B813" s="3" t="str">
        <f ca="1">IFERROR(__xludf.DUMMYFUNCTION("SPLIT(A813,"","")"),"US")</f>
        <v>US</v>
      </c>
      <c r="C813" s="3" t="str">
        <f ca="1">IFERROR(__xludf.DUMMYFUNCTION("""COMPUTED_VALUE"""),"Knox College")</f>
        <v>Knox College</v>
      </c>
      <c r="D813" s="4" t="str">
        <f ca="1">IFERROR(__xludf.DUMMYFUNCTION("""COMPUTED_VALUE"""),"http://www.knox.edu/")</f>
        <v>http://www.knox.edu/</v>
      </c>
      <c r="G813" s="2" t="str">
        <f t="shared" ca="1" si="0"/>
        <v>Knox College</v>
      </c>
      <c r="H813" s="5" t="str">
        <f t="shared" ca="1" si="1"/>
        <v>Knox College</v>
      </c>
      <c r="I813" s="3" t="str">
        <f t="shared" ca="1" si="2"/>
        <v>'Knox College',</v>
      </c>
    </row>
    <row r="814" spans="1:9">
      <c r="A814" s="1" t="s">
        <v>812</v>
      </c>
      <c r="B814" s="3" t="str">
        <f ca="1">IFERROR(__xludf.DUMMYFUNCTION("SPLIT(A814,"","")"),"US")</f>
        <v>US</v>
      </c>
      <c r="C814" s="3" t="str">
        <f ca="1">IFERROR(__xludf.DUMMYFUNCTION("""COMPUTED_VALUE"""),"Knoxville College")</f>
        <v>Knoxville College</v>
      </c>
      <c r="D814" s="4" t="str">
        <f ca="1">IFERROR(__xludf.DUMMYFUNCTION("""COMPUTED_VALUE"""),"http://www.knoxvillecollege.edu/")</f>
        <v>http://www.knoxvillecollege.edu/</v>
      </c>
      <c r="G814" s="2" t="str">
        <f t="shared" ca="1" si="0"/>
        <v>Knoxville College</v>
      </c>
      <c r="H814" s="5" t="str">
        <f t="shared" ca="1" si="1"/>
        <v>Knoxville College</v>
      </c>
      <c r="I814" s="3" t="str">
        <f t="shared" ca="1" si="2"/>
        <v>'Knoxville College',</v>
      </c>
    </row>
    <row r="815" spans="1:9">
      <c r="A815" s="1" t="s">
        <v>813</v>
      </c>
      <c r="B815" s="3" t="str">
        <f ca="1">IFERROR(__xludf.DUMMYFUNCTION("SPLIT(A815,"","")"),"US")</f>
        <v>US</v>
      </c>
      <c r="C815" s="3" t="str">
        <f ca="1">IFERROR(__xludf.DUMMYFUNCTION("""COMPUTED_VALUE"""),"Kutztown University of Pennsylvania")</f>
        <v>Kutztown University of Pennsylvania</v>
      </c>
      <c r="D815" s="4" t="str">
        <f ca="1">IFERROR(__xludf.DUMMYFUNCTION("""COMPUTED_VALUE"""),"http://www.kutztown.edu/")</f>
        <v>http://www.kutztown.edu/</v>
      </c>
      <c r="G815" s="2" t="str">
        <f t="shared" ca="1" si="0"/>
        <v>Kutztown University of Pennsylvania</v>
      </c>
      <c r="H815" s="5" t="str">
        <f t="shared" ca="1" si="1"/>
        <v>Kutztown University of Pennsylvania</v>
      </c>
      <c r="I815" s="3" t="str">
        <f t="shared" ca="1" si="2"/>
        <v>'Kutztown University of Pennsylvania',</v>
      </c>
    </row>
    <row r="816" spans="1:9">
      <c r="A816" s="1" t="s">
        <v>814</v>
      </c>
      <c r="B816" s="3" t="str">
        <f ca="1">IFERROR(__xludf.DUMMYFUNCTION("SPLIT(A816,"","")"),"US")</f>
        <v>US</v>
      </c>
      <c r="C816" s="3" t="str">
        <f ca="1">IFERROR(__xludf.DUMMYFUNCTION("""COMPUTED_VALUE"""),"Laboratory Institute of Merchandising")</f>
        <v>Laboratory Institute of Merchandising</v>
      </c>
      <c r="D816" s="4" t="str">
        <f ca="1">IFERROR(__xludf.DUMMYFUNCTION("""COMPUTED_VALUE"""),"http://www.limcollege.edu/")</f>
        <v>http://www.limcollege.edu/</v>
      </c>
      <c r="G816" s="2" t="str">
        <f t="shared" ca="1" si="0"/>
        <v>Laboratory Institute of Merchandising</v>
      </c>
      <c r="H816" s="5" t="str">
        <f t="shared" ca="1" si="1"/>
        <v>Laboratory Institute of Merchandising</v>
      </c>
      <c r="I816" s="3" t="str">
        <f t="shared" ca="1" si="2"/>
        <v>'Laboratory Institute of Merchandising',</v>
      </c>
    </row>
    <row r="817" spans="1:9">
      <c r="A817" s="1" t="s">
        <v>815</v>
      </c>
      <c r="B817" s="3" t="str">
        <f ca="1">IFERROR(__xludf.DUMMYFUNCTION("SPLIT(A817,"","")"),"US")</f>
        <v>US</v>
      </c>
      <c r="C817" s="3" t="str">
        <f ca="1">IFERROR(__xludf.DUMMYFUNCTION("""COMPUTED_VALUE"""),"Lafayette College")</f>
        <v>Lafayette College</v>
      </c>
      <c r="D817" s="4" t="str">
        <f ca="1">IFERROR(__xludf.DUMMYFUNCTION("""COMPUTED_VALUE"""),"http://www.lafayette.edu/")</f>
        <v>http://www.lafayette.edu/</v>
      </c>
      <c r="G817" s="2" t="str">
        <f t="shared" ca="1" si="0"/>
        <v>Lafayette College</v>
      </c>
      <c r="H817" s="5" t="str">
        <f t="shared" ca="1" si="1"/>
        <v>Lafayette College</v>
      </c>
      <c r="I817" s="3" t="str">
        <f t="shared" ca="1" si="2"/>
        <v>'Lafayette College',</v>
      </c>
    </row>
    <row r="818" spans="1:9">
      <c r="A818" s="1" t="s">
        <v>816</v>
      </c>
      <c r="B818" s="3" t="str">
        <f ca="1">IFERROR(__xludf.DUMMYFUNCTION("SPLIT(A818,"","")"),"US")</f>
        <v>US</v>
      </c>
      <c r="C818" s="3" t="str">
        <f ca="1">IFERROR(__xludf.DUMMYFUNCTION("""COMPUTED_VALUE"""),"Lagrange College")</f>
        <v>Lagrange College</v>
      </c>
      <c r="D818" s="4" t="str">
        <f ca="1">IFERROR(__xludf.DUMMYFUNCTION("""COMPUTED_VALUE"""),"http://www.lgc.edu/")</f>
        <v>http://www.lgc.edu/</v>
      </c>
      <c r="G818" s="2" t="str">
        <f t="shared" ca="1" si="0"/>
        <v>Lagrange College</v>
      </c>
      <c r="H818" s="5" t="str">
        <f t="shared" ca="1" si="1"/>
        <v>Lagrange College</v>
      </c>
      <c r="I818" s="3" t="str">
        <f t="shared" ca="1" si="2"/>
        <v>'Lagrange College',</v>
      </c>
    </row>
    <row r="819" spans="1:9">
      <c r="A819" s="1" t="s">
        <v>817</v>
      </c>
      <c r="B819" s="3" t="str">
        <f ca="1">IFERROR(__xludf.DUMMYFUNCTION("SPLIT(A819,"","")"),"US")</f>
        <v>US</v>
      </c>
      <c r="C819" s="3" t="str">
        <f ca="1">IFERROR(__xludf.DUMMYFUNCTION("""COMPUTED_VALUE"""),"Lake Erie College")</f>
        <v>Lake Erie College</v>
      </c>
      <c r="D819" s="4" t="str">
        <f ca="1">IFERROR(__xludf.DUMMYFUNCTION("""COMPUTED_VALUE"""),"http://www.lakeerie.edu/")</f>
        <v>http://www.lakeerie.edu/</v>
      </c>
      <c r="G819" s="2" t="str">
        <f t="shared" ca="1" si="0"/>
        <v>Lake Erie College</v>
      </c>
      <c r="H819" s="5" t="str">
        <f t="shared" ca="1" si="1"/>
        <v>Lake Erie College</v>
      </c>
      <c r="I819" s="3" t="str">
        <f t="shared" ca="1" si="2"/>
        <v>'Lake Erie College',</v>
      </c>
    </row>
    <row r="820" spans="1:9">
      <c r="A820" s="1" t="s">
        <v>818</v>
      </c>
      <c r="B820" s="3" t="str">
        <f ca="1">IFERROR(__xludf.DUMMYFUNCTION("SPLIT(A820,"","")"),"US")</f>
        <v>US</v>
      </c>
      <c r="C820" s="3" t="str">
        <f ca="1">IFERROR(__xludf.DUMMYFUNCTION("""COMPUTED_VALUE"""),"Lake Forest College")</f>
        <v>Lake Forest College</v>
      </c>
      <c r="D820" s="4" t="str">
        <f ca="1">IFERROR(__xludf.DUMMYFUNCTION("""COMPUTED_VALUE"""),"http://www.lfc.edu/")</f>
        <v>http://www.lfc.edu/</v>
      </c>
      <c r="G820" s="2" t="str">
        <f t="shared" ca="1" si="0"/>
        <v>Lake Forest College</v>
      </c>
      <c r="H820" s="5" t="str">
        <f t="shared" ca="1" si="1"/>
        <v>Lake Forest College</v>
      </c>
      <c r="I820" s="3" t="str">
        <f t="shared" ca="1" si="2"/>
        <v>'Lake Forest College',</v>
      </c>
    </row>
    <row r="821" spans="1:9">
      <c r="A821" s="1" t="s">
        <v>819</v>
      </c>
      <c r="B821" s="3" t="str">
        <f ca="1">IFERROR(__xludf.DUMMYFUNCTION("SPLIT(A821,"","")"),"US")</f>
        <v>US</v>
      </c>
      <c r="C821" s="3" t="str">
        <f ca="1">IFERROR(__xludf.DUMMYFUNCTION("""COMPUTED_VALUE"""),"Lake Forest Graduate School of Management")</f>
        <v>Lake Forest Graduate School of Management</v>
      </c>
      <c r="D821" s="4" t="str">
        <f ca="1">IFERROR(__xludf.DUMMYFUNCTION("""COMPUTED_VALUE"""),"http://www.lfgsm.edu/")</f>
        <v>http://www.lfgsm.edu/</v>
      </c>
      <c r="G821" s="2" t="str">
        <f t="shared" ca="1" si="0"/>
        <v>Lake Forest Graduate School of Management</v>
      </c>
      <c r="H821" s="5" t="str">
        <f t="shared" ca="1" si="1"/>
        <v>Lake Forest Graduate School of Management</v>
      </c>
      <c r="I821" s="3" t="str">
        <f t="shared" ca="1" si="2"/>
        <v>'Lake Forest Graduate School of Management',</v>
      </c>
    </row>
    <row r="822" spans="1:9">
      <c r="A822" s="1" t="s">
        <v>820</v>
      </c>
      <c r="B822" s="3" t="str">
        <f ca="1">IFERROR(__xludf.DUMMYFUNCTION("SPLIT(A822,"","")"),"US")</f>
        <v>US</v>
      </c>
      <c r="C822" s="3" t="str">
        <f ca="1">IFERROR(__xludf.DUMMYFUNCTION("""COMPUTED_VALUE"""),"Lakeland College")</f>
        <v>Lakeland College</v>
      </c>
      <c r="D822" s="4" t="str">
        <f ca="1">IFERROR(__xludf.DUMMYFUNCTION("""COMPUTED_VALUE"""),"http://www.lakeland.edu/")</f>
        <v>http://www.lakeland.edu/</v>
      </c>
      <c r="G822" s="2" t="str">
        <f t="shared" ca="1" si="0"/>
        <v>Lakeland College</v>
      </c>
      <c r="H822" s="5" t="str">
        <f t="shared" ca="1" si="1"/>
        <v>Lakeland College</v>
      </c>
      <c r="I822" s="3" t="str">
        <f t="shared" ca="1" si="2"/>
        <v>'Lakeland College',</v>
      </c>
    </row>
    <row r="823" spans="1:9">
      <c r="A823" s="1" t="s">
        <v>821</v>
      </c>
      <c r="B823" s="3" t="str">
        <f ca="1">IFERROR(__xludf.DUMMYFUNCTION("SPLIT(A823,"","")"),"US")</f>
        <v>US</v>
      </c>
      <c r="C823" s="3" t="str">
        <f ca="1">IFERROR(__xludf.DUMMYFUNCTION("""COMPUTED_VALUE"""),"Lake Superior State University")</f>
        <v>Lake Superior State University</v>
      </c>
      <c r="D823" s="4" t="str">
        <f ca="1">IFERROR(__xludf.DUMMYFUNCTION("""COMPUTED_VALUE"""),"http://www.lssu.edu/")</f>
        <v>http://www.lssu.edu/</v>
      </c>
      <c r="G823" s="2" t="str">
        <f t="shared" ca="1" si="0"/>
        <v>Lake Superior State University</v>
      </c>
      <c r="H823" s="5" t="str">
        <f t="shared" ca="1" si="1"/>
        <v>Lake Superior State University</v>
      </c>
      <c r="I823" s="3" t="str">
        <f t="shared" ca="1" si="2"/>
        <v>'Lake Superior State University',</v>
      </c>
    </row>
    <row r="824" spans="1:9">
      <c r="A824" s="1" t="s">
        <v>822</v>
      </c>
      <c r="B824" s="3" t="str">
        <f ca="1">IFERROR(__xludf.DUMMYFUNCTION("SPLIT(A824,"","")"),"US")</f>
        <v>US</v>
      </c>
      <c r="C824" s="3" t="str">
        <f ca="1">IFERROR(__xludf.DUMMYFUNCTION("""COMPUTED_VALUE"""),"Lakeview College of Nursing")</f>
        <v>Lakeview College of Nursing</v>
      </c>
      <c r="D824" s="4" t="str">
        <f ca="1">IFERROR(__xludf.DUMMYFUNCTION("""COMPUTED_VALUE"""),"http://www.lakeviewcol.edu/")</f>
        <v>http://www.lakeviewcol.edu/</v>
      </c>
      <c r="G824" s="2" t="str">
        <f t="shared" ca="1" si="0"/>
        <v>Lakeview College of Nursing</v>
      </c>
      <c r="H824" s="5" t="str">
        <f t="shared" ca="1" si="1"/>
        <v>Lakeview College of Nursing</v>
      </c>
      <c r="I824" s="3" t="str">
        <f t="shared" ca="1" si="2"/>
        <v>'Lakeview College of Nursing',</v>
      </c>
    </row>
    <row r="825" spans="1:9">
      <c r="A825" s="1" t="s">
        <v>823</v>
      </c>
      <c r="B825" s="3" t="str">
        <f ca="1">IFERROR(__xludf.DUMMYFUNCTION("SPLIT(A825,"","")"),"US")</f>
        <v>US</v>
      </c>
      <c r="C825" s="3" t="str">
        <f ca="1">IFERROR(__xludf.DUMMYFUNCTION("""COMPUTED_VALUE"""),"Lamar University")</f>
        <v>Lamar University</v>
      </c>
      <c r="D825" s="4" t="str">
        <f ca="1">IFERROR(__xludf.DUMMYFUNCTION("""COMPUTED_VALUE"""),"http://www.lamar.edu/")</f>
        <v>http://www.lamar.edu/</v>
      </c>
      <c r="G825" s="2" t="str">
        <f t="shared" ca="1" si="0"/>
        <v>Lamar University</v>
      </c>
      <c r="H825" s="5" t="str">
        <f t="shared" ca="1" si="1"/>
        <v>Lamar University</v>
      </c>
      <c r="I825" s="3" t="str">
        <f t="shared" ca="1" si="2"/>
        <v>'Lamar University',</v>
      </c>
    </row>
    <row r="826" spans="1:9">
      <c r="A826" s="1" t="s">
        <v>824</v>
      </c>
      <c r="B826" s="3" t="str">
        <f ca="1">IFERROR(__xludf.DUMMYFUNCTION("SPLIT(A826,"","")"),"US")</f>
        <v>US</v>
      </c>
      <c r="C826" s="3" t="str">
        <f ca="1">IFERROR(__xludf.DUMMYFUNCTION("""COMPUTED_VALUE"""),"Lamar University - Port Arthur")</f>
        <v>Lamar University - Port Arthur</v>
      </c>
      <c r="D826" s="4" t="str">
        <f ca="1">IFERROR(__xludf.DUMMYFUNCTION("""COMPUTED_VALUE"""),"http://www.pa.lamar.edu/")</f>
        <v>http://www.pa.lamar.edu/</v>
      </c>
      <c r="G826" s="2" t="str">
        <f t="shared" ca="1" si="0"/>
        <v>Lamar University - Port Arthur</v>
      </c>
      <c r="H826" s="5" t="str">
        <f t="shared" ca="1" si="1"/>
        <v>Lamar University - Port Arthur</v>
      </c>
      <c r="I826" s="3" t="str">
        <f t="shared" ca="1" si="2"/>
        <v>'Lamar University - Port Arthur',</v>
      </c>
    </row>
    <row r="827" spans="1:9">
      <c r="A827" s="1" t="s">
        <v>825</v>
      </c>
      <c r="B827" s="3" t="str">
        <f ca="1">IFERROR(__xludf.DUMMYFUNCTION("SPLIT(A827,"","")"),"US")</f>
        <v>US</v>
      </c>
      <c r="C827" s="3" t="str">
        <f ca="1">IFERROR(__xludf.DUMMYFUNCTION("""COMPUTED_VALUE"""),"Lambuth University")</f>
        <v>Lambuth University</v>
      </c>
      <c r="D827" s="4" t="str">
        <f ca="1">IFERROR(__xludf.DUMMYFUNCTION("""COMPUTED_VALUE"""),"http://www.lambuth.edu/")</f>
        <v>http://www.lambuth.edu/</v>
      </c>
      <c r="G827" s="2" t="str">
        <f t="shared" ca="1" si="0"/>
        <v>Lambuth University</v>
      </c>
      <c r="H827" s="5" t="str">
        <f t="shared" ca="1" si="1"/>
        <v>Lambuth University</v>
      </c>
      <c r="I827" s="3" t="str">
        <f t="shared" ca="1" si="2"/>
        <v>'Lambuth University',</v>
      </c>
    </row>
    <row r="828" spans="1:9">
      <c r="A828" s="1" t="s">
        <v>826</v>
      </c>
      <c r="B828" s="3" t="str">
        <f ca="1">IFERROR(__xludf.DUMMYFUNCTION("SPLIT(A828,"","")"),"US")</f>
        <v>US</v>
      </c>
      <c r="C828" s="3" t="str">
        <f ca="1">IFERROR(__xludf.DUMMYFUNCTION("""COMPUTED_VALUE"""),"Lancaster Bible College")</f>
        <v>Lancaster Bible College</v>
      </c>
      <c r="D828" s="4" t="str">
        <f ca="1">IFERROR(__xludf.DUMMYFUNCTION("""COMPUTED_VALUE"""),"http://www.lbc.edu/")</f>
        <v>http://www.lbc.edu/</v>
      </c>
      <c r="G828" s="2" t="str">
        <f t="shared" ca="1" si="0"/>
        <v>Lancaster Bible College</v>
      </c>
      <c r="H828" s="5" t="str">
        <f t="shared" ca="1" si="1"/>
        <v>Lancaster Bible College</v>
      </c>
      <c r="I828" s="3" t="str">
        <f t="shared" ca="1" si="2"/>
        <v>'Lancaster Bible College',</v>
      </c>
    </row>
    <row r="829" spans="1:9">
      <c r="A829" s="1" t="s">
        <v>827</v>
      </c>
      <c r="B829" s="3" t="str">
        <f ca="1">IFERROR(__xludf.DUMMYFUNCTION("SPLIT(A829,"","")"),"US")</f>
        <v>US</v>
      </c>
      <c r="C829" s="3" t="str">
        <f ca="1">IFERROR(__xludf.DUMMYFUNCTION("""COMPUTED_VALUE"""),"Lander University")</f>
        <v>Lander University</v>
      </c>
      <c r="D829" s="4" t="str">
        <f ca="1">IFERROR(__xludf.DUMMYFUNCTION("""COMPUTED_VALUE"""),"http://www.lander.edu/")</f>
        <v>http://www.lander.edu/</v>
      </c>
      <c r="G829" s="2" t="str">
        <f t="shared" ca="1" si="0"/>
        <v>Lander University</v>
      </c>
      <c r="H829" s="5" t="str">
        <f t="shared" ca="1" si="1"/>
        <v>Lander University</v>
      </c>
      <c r="I829" s="3" t="str">
        <f t="shared" ca="1" si="2"/>
        <v>'Lander University',</v>
      </c>
    </row>
    <row r="830" spans="1:9">
      <c r="A830" s="1" t="s">
        <v>828</v>
      </c>
      <c r="B830" s="3" t="str">
        <f ca="1">IFERROR(__xludf.DUMMYFUNCTION("SPLIT(A830,"","")"),"US")</f>
        <v>US</v>
      </c>
      <c r="C830" s="3" t="str">
        <f ca="1">IFERROR(__xludf.DUMMYFUNCTION("""COMPUTED_VALUE"""),"Lane College")</f>
        <v>Lane College</v>
      </c>
      <c r="D830" s="4" t="str">
        <f ca="1">IFERROR(__xludf.DUMMYFUNCTION("""COMPUTED_VALUE"""),"http://www.lanecollege.edu/")</f>
        <v>http://www.lanecollege.edu/</v>
      </c>
      <c r="G830" s="2" t="str">
        <f t="shared" ca="1" si="0"/>
        <v>Lane College</v>
      </c>
      <c r="H830" s="5" t="str">
        <f t="shared" ca="1" si="1"/>
        <v>Lane College</v>
      </c>
      <c r="I830" s="3" t="str">
        <f t="shared" ca="1" si="2"/>
        <v>'Lane College',</v>
      </c>
    </row>
    <row r="831" spans="1:9">
      <c r="A831" s="1" t="s">
        <v>829</v>
      </c>
      <c r="B831" s="3" t="str">
        <f ca="1">IFERROR(__xludf.DUMMYFUNCTION("SPLIT(A831,"","")"),"US")</f>
        <v>US</v>
      </c>
      <c r="C831" s="3" t="str">
        <f ca="1">IFERROR(__xludf.DUMMYFUNCTION("""COMPUTED_VALUE"""),"Langston University")</f>
        <v>Langston University</v>
      </c>
      <c r="D831" s="4" t="str">
        <f ca="1">IFERROR(__xludf.DUMMYFUNCTION("""COMPUTED_VALUE"""),"http://www.lunet.edu/")</f>
        <v>http://www.lunet.edu/</v>
      </c>
      <c r="G831" s="2" t="str">
        <f t="shared" ca="1" si="0"/>
        <v>Langston University</v>
      </c>
      <c r="H831" s="5" t="str">
        <f t="shared" ca="1" si="1"/>
        <v>Langston University</v>
      </c>
      <c r="I831" s="3" t="str">
        <f t="shared" ca="1" si="2"/>
        <v>'Langston University',</v>
      </c>
    </row>
    <row r="832" spans="1:9">
      <c r="A832" s="1" t="s">
        <v>830</v>
      </c>
      <c r="B832" s="3" t="str">
        <f ca="1">IFERROR(__xludf.DUMMYFUNCTION("SPLIT(A832,"","")"),"US")</f>
        <v>US</v>
      </c>
      <c r="C832" s="3" t="str">
        <f ca="1">IFERROR(__xludf.DUMMYFUNCTION("""COMPUTED_VALUE"""),"La Roche College")</f>
        <v>La Roche College</v>
      </c>
      <c r="D832" s="4" t="str">
        <f ca="1">IFERROR(__xludf.DUMMYFUNCTION("""COMPUTED_VALUE"""),"http://www.laroche.edu/")</f>
        <v>http://www.laroche.edu/</v>
      </c>
      <c r="G832" s="2" t="str">
        <f t="shared" ca="1" si="0"/>
        <v>La Roche College</v>
      </c>
      <c r="H832" s="5" t="str">
        <f t="shared" ca="1" si="1"/>
        <v>La Roche College</v>
      </c>
      <c r="I832" s="3" t="str">
        <f t="shared" ca="1" si="2"/>
        <v>'La Roche College',</v>
      </c>
    </row>
    <row r="833" spans="1:9">
      <c r="A833" s="1" t="s">
        <v>831</v>
      </c>
      <c r="B833" s="3" t="str">
        <f ca="1">IFERROR(__xludf.DUMMYFUNCTION("SPLIT(A833,"","")"),"US")</f>
        <v>US</v>
      </c>
      <c r="C833" s="3" t="str">
        <f ca="1">IFERROR(__xludf.DUMMYFUNCTION("""COMPUTED_VALUE"""),"La Salle University")</f>
        <v>La Salle University</v>
      </c>
      <c r="D833" s="4" t="str">
        <f ca="1">IFERROR(__xludf.DUMMYFUNCTION("""COMPUTED_VALUE"""),"http://www.lasalle.edu/")</f>
        <v>http://www.lasalle.edu/</v>
      </c>
      <c r="G833" s="2" t="str">
        <f t="shared" ca="1" si="0"/>
        <v>La Salle University</v>
      </c>
      <c r="H833" s="5" t="str">
        <f t="shared" ca="1" si="1"/>
        <v>La Salle University</v>
      </c>
      <c r="I833" s="3" t="str">
        <f t="shared" ca="1" si="2"/>
        <v>'La Salle University',</v>
      </c>
    </row>
    <row r="834" spans="1:9">
      <c r="A834" s="1" t="s">
        <v>832</v>
      </c>
      <c r="B834" s="3" t="str">
        <f ca="1">IFERROR(__xludf.DUMMYFUNCTION("SPLIT(A834,"","")"),"US")</f>
        <v>US</v>
      </c>
      <c r="C834" s="3" t="str">
        <f ca="1">IFERROR(__xludf.DUMMYFUNCTION("""COMPUTED_VALUE"""),"Lasell College")</f>
        <v>Lasell College</v>
      </c>
      <c r="D834" s="4" t="str">
        <f ca="1">IFERROR(__xludf.DUMMYFUNCTION("""COMPUTED_VALUE"""),"http://www.lasell.edu/")</f>
        <v>http://www.lasell.edu/</v>
      </c>
      <c r="G834" s="2" t="str">
        <f t="shared" ca="1" si="0"/>
        <v>Lasell College</v>
      </c>
      <c r="H834" s="5" t="str">
        <f t="shared" ca="1" si="1"/>
        <v>Lasell College</v>
      </c>
      <c r="I834" s="3" t="str">
        <f t="shared" ca="1" si="2"/>
        <v>'Lasell College',</v>
      </c>
    </row>
    <row r="835" spans="1:9">
      <c r="A835" s="1" t="s">
        <v>833</v>
      </c>
      <c r="B835" s="3" t="str">
        <f ca="1">IFERROR(__xludf.DUMMYFUNCTION("SPLIT(A835,"","")"),"US")</f>
        <v>US</v>
      </c>
      <c r="C835" s="3" t="str">
        <f ca="1">IFERROR(__xludf.DUMMYFUNCTION("""COMPUTED_VALUE"""),"La Sierra University")</f>
        <v>La Sierra University</v>
      </c>
      <c r="D835" s="4" t="str">
        <f ca="1">IFERROR(__xludf.DUMMYFUNCTION("""COMPUTED_VALUE"""),"http://www.lasierra.edu/")</f>
        <v>http://www.lasierra.edu/</v>
      </c>
      <c r="G835" s="2" t="str">
        <f t="shared" ca="1" si="0"/>
        <v>La Sierra University</v>
      </c>
      <c r="H835" s="5" t="str">
        <f t="shared" ca="1" si="1"/>
        <v>La Sierra University</v>
      </c>
      <c r="I835" s="3" t="str">
        <f t="shared" ca="1" si="2"/>
        <v>'La Sierra University',</v>
      </c>
    </row>
    <row r="836" spans="1:9">
      <c r="A836" s="1" t="s">
        <v>834</v>
      </c>
      <c r="B836" s="3" t="str">
        <f ca="1">IFERROR(__xludf.DUMMYFUNCTION("SPLIT(A836,"","")"),"US")</f>
        <v>US</v>
      </c>
      <c r="C836" s="3" t="str">
        <f ca="1">IFERROR(__xludf.DUMMYFUNCTION("""COMPUTED_VALUE"""),"Laurus Technical Institute")</f>
        <v>Laurus Technical Institute</v>
      </c>
      <c r="D836" s="4" t="str">
        <f ca="1">IFERROR(__xludf.DUMMYFUNCTION("""COMPUTED_VALUE"""),"http://www.laurus.edu/")</f>
        <v>http://www.laurus.edu/</v>
      </c>
      <c r="G836" s="2" t="str">
        <f t="shared" ca="1" si="0"/>
        <v>Laurus Technical Institute</v>
      </c>
      <c r="H836" s="5" t="str">
        <f t="shared" ca="1" si="1"/>
        <v>Laurus Technical Institute</v>
      </c>
      <c r="I836" s="3" t="str">
        <f t="shared" ca="1" si="2"/>
        <v>'Laurus Technical Institute',</v>
      </c>
    </row>
    <row r="837" spans="1:9">
      <c r="A837" s="1" t="s">
        <v>835</v>
      </c>
      <c r="B837" s="3" t="str">
        <f ca="1">IFERROR(__xludf.DUMMYFUNCTION("SPLIT(A837,"","")"),"US")</f>
        <v>US</v>
      </c>
      <c r="C837" s="3" t="str">
        <f ca="1">IFERROR(__xludf.DUMMYFUNCTION("""COMPUTED_VALUE"""),"Lawrence Technological University")</f>
        <v>Lawrence Technological University</v>
      </c>
      <c r="D837" s="4" t="str">
        <f ca="1">IFERROR(__xludf.DUMMYFUNCTION("""COMPUTED_VALUE"""),"http://www.ltu.edu/")</f>
        <v>http://www.ltu.edu/</v>
      </c>
      <c r="G837" s="2" t="str">
        <f t="shared" ca="1" si="0"/>
        <v>Lawrence Technological University</v>
      </c>
      <c r="H837" s="5" t="str">
        <f t="shared" ca="1" si="1"/>
        <v>Lawrence Technological University</v>
      </c>
      <c r="I837" s="3" t="str">
        <f t="shared" ca="1" si="2"/>
        <v>'Lawrence Technological University',</v>
      </c>
    </row>
    <row r="838" spans="1:9">
      <c r="A838" s="1" t="s">
        <v>836</v>
      </c>
      <c r="B838" s="3" t="str">
        <f ca="1">IFERROR(__xludf.DUMMYFUNCTION("SPLIT(A838,"","")"),"US")</f>
        <v>US</v>
      </c>
      <c r="C838" s="3" t="str">
        <f ca="1">IFERROR(__xludf.DUMMYFUNCTION("""COMPUTED_VALUE"""),"Lawrence University")</f>
        <v>Lawrence University</v>
      </c>
      <c r="D838" s="4" t="str">
        <f ca="1">IFERROR(__xludf.DUMMYFUNCTION("""COMPUTED_VALUE"""),"http://www.lawrence.edu/")</f>
        <v>http://www.lawrence.edu/</v>
      </c>
      <c r="G838" s="2" t="str">
        <f t="shared" ca="1" si="0"/>
        <v>Lawrence University</v>
      </c>
      <c r="H838" s="5" t="str">
        <f t="shared" ca="1" si="1"/>
        <v>Lawrence University</v>
      </c>
      <c r="I838" s="3" t="str">
        <f t="shared" ca="1" si="2"/>
        <v>'Lawrence University',</v>
      </c>
    </row>
    <row r="839" spans="1:9">
      <c r="A839" s="1" t="s">
        <v>837</v>
      </c>
      <c r="B839" s="3" t="str">
        <f ca="1">IFERROR(__xludf.DUMMYFUNCTION("SPLIT(A839,"","")"),"US")</f>
        <v>US</v>
      </c>
      <c r="C839" s="3" t="str">
        <f ca="1">IFERROR(__xludf.DUMMYFUNCTION("""COMPUTED_VALUE"""),"Lebanon Valley College")</f>
        <v>Lebanon Valley College</v>
      </c>
      <c r="D839" s="4" t="str">
        <f ca="1">IFERROR(__xludf.DUMMYFUNCTION("""COMPUTED_VALUE"""),"http://www.lvc.edu/")</f>
        <v>http://www.lvc.edu/</v>
      </c>
      <c r="G839" s="2" t="str">
        <f t="shared" ca="1" si="0"/>
        <v>Lebanon Valley College</v>
      </c>
      <c r="H839" s="5" t="str">
        <f t="shared" ca="1" si="1"/>
        <v>Lebanon Valley College</v>
      </c>
      <c r="I839" s="3" t="str">
        <f t="shared" ca="1" si="2"/>
        <v>'Lebanon Valley College',</v>
      </c>
    </row>
    <row r="840" spans="1:9">
      <c r="A840" s="1" t="s">
        <v>838</v>
      </c>
      <c r="B840" s="3" t="str">
        <f ca="1">IFERROR(__xludf.DUMMYFUNCTION("SPLIT(A840,"","")"),"US")</f>
        <v>US</v>
      </c>
      <c r="C840" s="3" t="str">
        <f ca="1">IFERROR(__xludf.DUMMYFUNCTION("""COMPUTED_VALUE"""),"Lees-McRae College")</f>
        <v>Lees-McRae College</v>
      </c>
      <c r="D840" s="4" t="str">
        <f ca="1">IFERROR(__xludf.DUMMYFUNCTION("""COMPUTED_VALUE"""),"http://www.lmc.edu/")</f>
        <v>http://www.lmc.edu/</v>
      </c>
      <c r="G840" s="2" t="str">
        <f t="shared" ca="1" si="0"/>
        <v>Lees-McRae College</v>
      </c>
      <c r="H840" s="5" t="str">
        <f t="shared" ca="1" si="1"/>
        <v>Lees-McRae College</v>
      </c>
      <c r="I840" s="3" t="str">
        <f t="shared" ca="1" si="2"/>
        <v>'Lees-McRae College',</v>
      </c>
    </row>
    <row r="841" spans="1:9">
      <c r="A841" s="1" t="s">
        <v>839</v>
      </c>
      <c r="B841" s="3" t="str">
        <f ca="1">IFERROR(__xludf.DUMMYFUNCTION("SPLIT(A841,"","")"),"US")</f>
        <v>US</v>
      </c>
      <c r="C841" s="3" t="str">
        <f ca="1">IFERROR(__xludf.DUMMYFUNCTION("""COMPUTED_VALUE"""),"Lee University")</f>
        <v>Lee University</v>
      </c>
      <c r="D841" s="4" t="str">
        <f ca="1">IFERROR(__xludf.DUMMYFUNCTION("""COMPUTED_VALUE"""),"http://www.leeuniversity.edu/")</f>
        <v>http://www.leeuniversity.edu/</v>
      </c>
      <c r="G841" s="2" t="str">
        <f t="shared" ca="1" si="0"/>
        <v>Lee University</v>
      </c>
      <c r="H841" s="5" t="str">
        <f t="shared" ca="1" si="1"/>
        <v>Lee University</v>
      </c>
      <c r="I841" s="3" t="str">
        <f t="shared" ca="1" si="2"/>
        <v>'Lee University',</v>
      </c>
    </row>
    <row r="842" spans="1:9">
      <c r="A842" s="1" t="s">
        <v>840</v>
      </c>
      <c r="B842" s="3" t="str">
        <f ca="1">IFERROR(__xludf.DUMMYFUNCTION("SPLIT(A842,"","")"),"US")</f>
        <v>US</v>
      </c>
      <c r="C842" s="3" t="str">
        <f ca="1">IFERROR(__xludf.DUMMYFUNCTION("""COMPUTED_VALUE"""),"Lehigh Univervsity")</f>
        <v>Lehigh Univervsity</v>
      </c>
      <c r="D842" s="4" t="str">
        <f ca="1">IFERROR(__xludf.DUMMYFUNCTION("""COMPUTED_VALUE"""),"http://www.lehigh.edu/")</f>
        <v>http://www.lehigh.edu/</v>
      </c>
      <c r="G842" s="2" t="str">
        <f t="shared" ca="1" si="0"/>
        <v>Lehigh Univervsity</v>
      </c>
      <c r="H842" s="5" t="str">
        <f t="shared" ca="1" si="1"/>
        <v>Lehigh Univervsity</v>
      </c>
      <c r="I842" s="3" t="str">
        <f t="shared" ca="1" si="2"/>
        <v>'Lehigh Univervsity',</v>
      </c>
    </row>
    <row r="843" spans="1:9">
      <c r="A843" s="1" t="s">
        <v>841</v>
      </c>
      <c r="B843" s="3" t="str">
        <f ca="1">IFERROR(__xludf.DUMMYFUNCTION("SPLIT(A843,"","")"),"US")</f>
        <v>US</v>
      </c>
      <c r="C843" s="3" t="str">
        <f ca="1">IFERROR(__xludf.DUMMYFUNCTION("""COMPUTED_VALUE"""),"Le Moyne College")</f>
        <v>Le Moyne College</v>
      </c>
      <c r="D843" s="4" t="str">
        <f ca="1">IFERROR(__xludf.DUMMYFUNCTION("""COMPUTED_VALUE"""),"http://www.lemoyne.edu/")</f>
        <v>http://www.lemoyne.edu/</v>
      </c>
      <c r="G843" s="2" t="str">
        <f t="shared" ca="1" si="0"/>
        <v>Le Moyne College</v>
      </c>
      <c r="H843" s="5" t="str">
        <f t="shared" ca="1" si="1"/>
        <v>Le Moyne College</v>
      </c>
      <c r="I843" s="3" t="str">
        <f t="shared" ca="1" si="2"/>
        <v>'Le Moyne College',</v>
      </c>
    </row>
    <row r="844" spans="1:9">
      <c r="A844" s="1" t="s">
        <v>842</v>
      </c>
      <c r="B844" s="3" t="str">
        <f ca="1">IFERROR(__xludf.DUMMYFUNCTION("SPLIT(A844,"","")"),"US")</f>
        <v>US</v>
      </c>
      <c r="C844" s="3" t="str">
        <f ca="1">IFERROR(__xludf.DUMMYFUNCTION("""COMPUTED_VALUE"""),"Le Moyne-Owen College")</f>
        <v>Le Moyne-Owen College</v>
      </c>
      <c r="D844" s="4" t="str">
        <f ca="1">IFERROR(__xludf.DUMMYFUNCTION("""COMPUTED_VALUE"""),"http://www.lemoyne-owen.edu/")</f>
        <v>http://www.lemoyne-owen.edu/</v>
      </c>
      <c r="G844" s="2" t="str">
        <f t="shared" ca="1" si="0"/>
        <v>Le Moyne-Owen College</v>
      </c>
      <c r="H844" s="5" t="str">
        <f t="shared" ca="1" si="1"/>
        <v>Le Moyne-Owen College</v>
      </c>
      <c r="I844" s="3" t="str">
        <f t="shared" ca="1" si="2"/>
        <v>'Le Moyne-Owen College',</v>
      </c>
    </row>
    <row r="845" spans="1:9">
      <c r="A845" s="1" t="s">
        <v>843</v>
      </c>
      <c r="B845" s="3" t="str">
        <f ca="1">IFERROR(__xludf.DUMMYFUNCTION("SPLIT(A845,"","")"),"US")</f>
        <v>US</v>
      </c>
      <c r="C845" s="3" t="str">
        <f ca="1">IFERROR(__xludf.DUMMYFUNCTION("""COMPUTED_VALUE"""),"Lenoir-Rhyne College")</f>
        <v>Lenoir-Rhyne College</v>
      </c>
      <c r="D845" s="4" t="str">
        <f ca="1">IFERROR(__xludf.DUMMYFUNCTION("""COMPUTED_VALUE"""),"http://www.lrc.edu/")</f>
        <v>http://www.lrc.edu/</v>
      </c>
      <c r="G845" s="2" t="str">
        <f t="shared" ca="1" si="0"/>
        <v>Lenoir-Rhyne College</v>
      </c>
      <c r="H845" s="5" t="str">
        <f t="shared" ca="1" si="1"/>
        <v>Lenoir-Rhyne College</v>
      </c>
      <c r="I845" s="3" t="str">
        <f t="shared" ca="1" si="2"/>
        <v>'Lenoir-Rhyne College',</v>
      </c>
    </row>
    <row r="846" spans="1:9">
      <c r="A846" s="1" t="s">
        <v>844</v>
      </c>
      <c r="B846" s="3" t="str">
        <f ca="1">IFERROR(__xludf.DUMMYFUNCTION("SPLIT(A846,"","")"),"US")</f>
        <v>US</v>
      </c>
      <c r="C846" s="3" t="str">
        <f ca="1">IFERROR(__xludf.DUMMYFUNCTION("""COMPUTED_VALUE"""),"Lesley University")</f>
        <v>Lesley University</v>
      </c>
      <c r="D846" s="4" t="str">
        <f ca="1">IFERROR(__xludf.DUMMYFUNCTION("""COMPUTED_VALUE"""),"http://www.lesley.edu/")</f>
        <v>http://www.lesley.edu/</v>
      </c>
      <c r="G846" s="2" t="str">
        <f t="shared" ca="1" si="0"/>
        <v>Lesley University</v>
      </c>
      <c r="H846" s="5" t="str">
        <f t="shared" ca="1" si="1"/>
        <v>Lesley University</v>
      </c>
      <c r="I846" s="3" t="str">
        <f t="shared" ca="1" si="2"/>
        <v>'Lesley University',</v>
      </c>
    </row>
    <row r="847" spans="1:9">
      <c r="A847" s="1" t="s">
        <v>845</v>
      </c>
      <c r="B847" s="3" t="str">
        <f ca="1">IFERROR(__xludf.DUMMYFUNCTION("SPLIT(A847,"","")"),"US")</f>
        <v>US</v>
      </c>
      <c r="C847" s="3" t="str">
        <f ca="1">IFERROR(__xludf.DUMMYFUNCTION("""COMPUTED_VALUE"""),"Letourneau University")</f>
        <v>Letourneau University</v>
      </c>
      <c r="D847" s="4" t="str">
        <f ca="1">IFERROR(__xludf.DUMMYFUNCTION("""COMPUTED_VALUE"""),"http://www.letu.edu/")</f>
        <v>http://www.letu.edu/</v>
      </c>
      <c r="G847" s="2" t="str">
        <f t="shared" ca="1" si="0"/>
        <v>Letourneau University</v>
      </c>
      <c r="H847" s="5" t="str">
        <f t="shared" ca="1" si="1"/>
        <v>Letourneau University</v>
      </c>
      <c r="I847" s="3" t="str">
        <f t="shared" ca="1" si="2"/>
        <v>'Letourneau University',</v>
      </c>
    </row>
    <row r="848" spans="1:9">
      <c r="A848" s="1" t="s">
        <v>846</v>
      </c>
      <c r="B848" s="3" t="str">
        <f ca="1">IFERROR(__xludf.DUMMYFUNCTION("SPLIT(A848,"","")"),"US")</f>
        <v>US</v>
      </c>
      <c r="C848" s="3" t="str">
        <f ca="1">IFERROR(__xludf.DUMMYFUNCTION("""COMPUTED_VALUE"""),"Lewis and Clark College")</f>
        <v>Lewis and Clark College</v>
      </c>
      <c r="D848" s="4" t="str">
        <f ca="1">IFERROR(__xludf.DUMMYFUNCTION("""COMPUTED_VALUE"""),"http://www.lclark.edu/")</f>
        <v>http://www.lclark.edu/</v>
      </c>
      <c r="G848" s="2" t="str">
        <f t="shared" ca="1" si="0"/>
        <v>Lewis and Clark College</v>
      </c>
      <c r="H848" s="5" t="str">
        <f t="shared" ca="1" si="1"/>
        <v>Lewis and Clark College</v>
      </c>
      <c r="I848" s="3" t="str">
        <f t="shared" ca="1" si="2"/>
        <v>'Lewis and Clark College',</v>
      </c>
    </row>
    <row r="849" spans="1:9">
      <c r="A849" s="1" t="s">
        <v>847</v>
      </c>
      <c r="B849" s="3" t="str">
        <f ca="1">IFERROR(__xludf.DUMMYFUNCTION("SPLIT(A849,"","")"),"US")</f>
        <v>US</v>
      </c>
      <c r="C849" s="3" t="str">
        <f ca="1">IFERROR(__xludf.DUMMYFUNCTION("""COMPUTED_VALUE"""),"Lewis &amp; Clark Community College")</f>
        <v>Lewis &amp; Clark Community College</v>
      </c>
      <c r="D849" s="4" t="str">
        <f ca="1">IFERROR(__xludf.DUMMYFUNCTION("""COMPUTED_VALUE"""),"http://www.lc.cc.il.us/")</f>
        <v>http://www.lc.cc.il.us/</v>
      </c>
      <c r="G849" s="2" t="str">
        <f t="shared" ca="1" si="0"/>
        <v>Lewis &amp; Clark Community College</v>
      </c>
      <c r="H849" s="5" t="str">
        <f t="shared" ca="1" si="1"/>
        <v>Lewis &amp; Clark Community College</v>
      </c>
      <c r="I849" s="3" t="str">
        <f t="shared" ca="1" si="2"/>
        <v>'Lewis &amp; Clark Community College',</v>
      </c>
    </row>
    <row r="850" spans="1:9">
      <c r="A850" s="1" t="s">
        <v>848</v>
      </c>
      <c r="B850" s="3" t="str">
        <f ca="1">IFERROR(__xludf.DUMMYFUNCTION("SPLIT(A850,"","")"),"US")</f>
        <v>US</v>
      </c>
      <c r="C850" s="3" t="str">
        <f ca="1">IFERROR(__xludf.DUMMYFUNCTION("""COMPUTED_VALUE"""),"Lewis-Clark State College")</f>
        <v>Lewis-Clark State College</v>
      </c>
      <c r="D850" s="4" t="str">
        <f ca="1">IFERROR(__xludf.DUMMYFUNCTION("""COMPUTED_VALUE"""),"http://www.lcsc.edu/")</f>
        <v>http://www.lcsc.edu/</v>
      </c>
      <c r="G850" s="2" t="str">
        <f t="shared" ca="1" si="0"/>
        <v>Lewis-Clark State College</v>
      </c>
      <c r="H850" s="5" t="str">
        <f t="shared" ca="1" si="1"/>
        <v>Lewis-Clark State College</v>
      </c>
      <c r="I850" s="3" t="str">
        <f t="shared" ca="1" si="2"/>
        <v>'Lewis-Clark State College',</v>
      </c>
    </row>
    <row r="851" spans="1:9">
      <c r="A851" s="1" t="s">
        <v>849</v>
      </c>
      <c r="B851" s="3" t="str">
        <f ca="1">IFERROR(__xludf.DUMMYFUNCTION("SPLIT(A851,"","")"),"US")</f>
        <v>US</v>
      </c>
      <c r="C851" s="3" t="str">
        <f ca="1">IFERROR(__xludf.DUMMYFUNCTION("""COMPUTED_VALUE"""),"Lewis University")</f>
        <v>Lewis University</v>
      </c>
      <c r="D851" s="4" t="str">
        <f ca="1">IFERROR(__xludf.DUMMYFUNCTION("""COMPUTED_VALUE"""),"http://www.lewisu.edu/")</f>
        <v>http://www.lewisu.edu/</v>
      </c>
      <c r="G851" s="2" t="str">
        <f t="shared" ca="1" si="0"/>
        <v>Lewis University</v>
      </c>
      <c r="H851" s="5" t="str">
        <f t="shared" ca="1" si="1"/>
        <v>Lewis University</v>
      </c>
      <c r="I851" s="3" t="str">
        <f t="shared" ca="1" si="2"/>
        <v>'Lewis University',</v>
      </c>
    </row>
    <row r="852" spans="1:9">
      <c r="A852" s="1" t="s">
        <v>850</v>
      </c>
      <c r="B852" s="3" t="str">
        <f ca="1">IFERROR(__xludf.DUMMYFUNCTION("SPLIT(A852,"","")"),"US")</f>
        <v>US</v>
      </c>
      <c r="C852" s="3" t="str">
        <f ca="1">IFERROR(__xludf.DUMMYFUNCTION("""COMPUTED_VALUE"""),"Liberty University")</f>
        <v>Liberty University</v>
      </c>
      <c r="D852" s="4" t="str">
        <f ca="1">IFERROR(__xludf.DUMMYFUNCTION("""COMPUTED_VALUE"""),"http://www.liberty.edu/")</f>
        <v>http://www.liberty.edu/</v>
      </c>
      <c r="G852" s="2" t="str">
        <f t="shared" ca="1" si="0"/>
        <v>Liberty University</v>
      </c>
      <c r="H852" s="5" t="str">
        <f t="shared" ca="1" si="1"/>
        <v>Liberty University</v>
      </c>
      <c r="I852" s="3" t="str">
        <f t="shared" ca="1" si="2"/>
        <v>'Liberty University',</v>
      </c>
    </row>
    <row r="853" spans="1:9">
      <c r="A853" s="1" t="s">
        <v>851</v>
      </c>
      <c r="B853" s="3" t="str">
        <f ca="1">IFERROR(__xludf.DUMMYFUNCTION("SPLIT(A853,"","")"),"US")</f>
        <v>US</v>
      </c>
      <c r="C853" s="3" t="str">
        <f ca="1">IFERROR(__xludf.DUMMYFUNCTION("""COMPUTED_VALUE"""),"Life Chiropractic College West")</f>
        <v>Life Chiropractic College West</v>
      </c>
      <c r="D853" s="4" t="str">
        <f ca="1">IFERROR(__xludf.DUMMYFUNCTION("""COMPUTED_VALUE"""),"http://www.lifewest.edu/")</f>
        <v>http://www.lifewest.edu/</v>
      </c>
      <c r="G853" s="2" t="str">
        <f t="shared" ca="1" si="0"/>
        <v>Life Chiropractic College West</v>
      </c>
      <c r="H853" s="5" t="str">
        <f t="shared" ca="1" si="1"/>
        <v>Life Chiropractic College West</v>
      </c>
      <c r="I853" s="3" t="str">
        <f t="shared" ca="1" si="2"/>
        <v>'Life Chiropractic College West',</v>
      </c>
    </row>
    <row r="854" spans="1:9">
      <c r="A854" s="1" t="s">
        <v>852</v>
      </c>
      <c r="B854" s="3" t="str">
        <f ca="1">IFERROR(__xludf.DUMMYFUNCTION("SPLIT(A854,"","")"),"US")</f>
        <v>US</v>
      </c>
      <c r="C854" s="3" t="str">
        <f ca="1">IFERROR(__xludf.DUMMYFUNCTION("""COMPUTED_VALUE"""),"Life University")</f>
        <v>Life University</v>
      </c>
      <c r="D854" s="4" t="str">
        <f ca="1">IFERROR(__xludf.DUMMYFUNCTION("""COMPUTED_VALUE"""),"http://www.life.edu/")</f>
        <v>http://www.life.edu/</v>
      </c>
      <c r="G854" s="2" t="str">
        <f t="shared" ca="1" si="0"/>
        <v>Life University</v>
      </c>
      <c r="H854" s="5" t="str">
        <f t="shared" ca="1" si="1"/>
        <v>Life University</v>
      </c>
      <c r="I854" s="3" t="str">
        <f t="shared" ca="1" si="2"/>
        <v>'Life University',</v>
      </c>
    </row>
    <row r="855" spans="1:9">
      <c r="A855" s="1" t="s">
        <v>853</v>
      </c>
      <c r="B855" s="3" t="str">
        <f ca="1">IFERROR(__xludf.DUMMYFUNCTION("SPLIT(A855,"","")"),"US")</f>
        <v>US</v>
      </c>
      <c r="C855" s="3" t="str">
        <f ca="1">IFERROR(__xludf.DUMMYFUNCTION("""COMPUTED_VALUE"""),"Limestone College")</f>
        <v>Limestone College</v>
      </c>
      <c r="D855" s="4" t="str">
        <f ca="1">IFERROR(__xludf.DUMMYFUNCTION("""COMPUTED_VALUE"""),"http://www.limestone.edu/")</f>
        <v>http://www.limestone.edu/</v>
      </c>
      <c r="G855" s="2" t="str">
        <f t="shared" ca="1" si="0"/>
        <v>Limestone College</v>
      </c>
      <c r="H855" s="5" t="str">
        <f t="shared" ca="1" si="1"/>
        <v>Limestone College</v>
      </c>
      <c r="I855" s="3" t="str">
        <f t="shared" ca="1" si="2"/>
        <v>'Limestone College',</v>
      </c>
    </row>
    <row r="856" spans="1:9">
      <c r="A856" s="1" t="s">
        <v>854</v>
      </c>
      <c r="B856" s="3" t="str">
        <f ca="1">IFERROR(__xludf.DUMMYFUNCTION("SPLIT(A856,"","")"),"US")</f>
        <v>US</v>
      </c>
      <c r="C856" s="3" t="str">
        <f ca="1">IFERROR(__xludf.DUMMYFUNCTION("""COMPUTED_VALUE"""),"Lincoln Memorial University")</f>
        <v>Lincoln Memorial University</v>
      </c>
      <c r="D856" s="4" t="str">
        <f ca="1">IFERROR(__xludf.DUMMYFUNCTION("""COMPUTED_VALUE"""),"http://www.lmunet.edu/")</f>
        <v>http://www.lmunet.edu/</v>
      </c>
      <c r="G856" s="2" t="str">
        <f t="shared" ca="1" si="0"/>
        <v>Lincoln Memorial University</v>
      </c>
      <c r="H856" s="5" t="str">
        <f t="shared" ca="1" si="1"/>
        <v>Lincoln Memorial University</v>
      </c>
      <c r="I856" s="3" t="str">
        <f t="shared" ca="1" si="2"/>
        <v>'Lincoln Memorial University',</v>
      </c>
    </row>
    <row r="857" spans="1:9">
      <c r="A857" s="1" t="s">
        <v>855</v>
      </c>
      <c r="B857" s="3" t="str">
        <f ca="1">IFERROR(__xludf.DUMMYFUNCTION("SPLIT(A857,"","")"),"US")</f>
        <v>US</v>
      </c>
      <c r="C857" s="3" t="str">
        <f ca="1">IFERROR(__xludf.DUMMYFUNCTION("""COMPUTED_VALUE"""),"Lincoln University Missouri")</f>
        <v>Lincoln University Missouri</v>
      </c>
      <c r="D857" s="4" t="str">
        <f ca="1">IFERROR(__xludf.DUMMYFUNCTION("""COMPUTED_VALUE"""),"http://www.lincolnu.edu/")</f>
        <v>http://www.lincolnu.edu/</v>
      </c>
      <c r="G857" s="2" t="str">
        <f t="shared" ca="1" si="0"/>
        <v>Lincoln University Missouri</v>
      </c>
      <c r="H857" s="5" t="str">
        <f t="shared" ca="1" si="1"/>
        <v>Lincoln University Missouri</v>
      </c>
      <c r="I857" s="3" t="str">
        <f t="shared" ca="1" si="2"/>
        <v>'Lincoln University Missouri',</v>
      </c>
    </row>
    <row r="858" spans="1:9">
      <c r="A858" s="1" t="s">
        <v>856</v>
      </c>
      <c r="B858" s="3" t="str">
        <f ca="1">IFERROR(__xludf.DUMMYFUNCTION("SPLIT(A858,"","")"),"US")</f>
        <v>US</v>
      </c>
      <c r="C858" s="3" t="str">
        <f ca="1">IFERROR(__xludf.DUMMYFUNCTION("""COMPUTED_VALUE"""),"Lincoln University Pennsylvania")</f>
        <v>Lincoln University Pennsylvania</v>
      </c>
      <c r="D858" s="4" t="str">
        <f ca="1">IFERROR(__xludf.DUMMYFUNCTION("""COMPUTED_VALUE"""),"http://www.lincoln.edu/")</f>
        <v>http://www.lincoln.edu/</v>
      </c>
      <c r="G858" s="2" t="str">
        <f t="shared" ca="1" si="0"/>
        <v>Lincoln University Pennsylvania</v>
      </c>
      <c r="H858" s="5" t="str">
        <f t="shared" ca="1" si="1"/>
        <v>Lincoln University Pennsylvania</v>
      </c>
      <c r="I858" s="3" t="str">
        <f t="shared" ca="1" si="2"/>
        <v>'Lincoln University Pennsylvania',</v>
      </c>
    </row>
    <row r="859" spans="1:9">
      <c r="A859" s="1" t="s">
        <v>857</v>
      </c>
      <c r="B859" s="3" t="str">
        <f ca="1">IFERROR(__xludf.DUMMYFUNCTION("SPLIT(A859,"","")"),"US")</f>
        <v>US</v>
      </c>
      <c r="C859" s="3" t="str">
        <f ca="1">IFERROR(__xludf.DUMMYFUNCTION("""COMPUTED_VALUE"""),"Lincoln University San Francisco")</f>
        <v>Lincoln University San Francisco</v>
      </c>
      <c r="D859" s="4" t="str">
        <f ca="1">IFERROR(__xludf.DUMMYFUNCTION("""COMPUTED_VALUE"""),"http://www.lincolnuca.edu/")</f>
        <v>http://www.lincolnuca.edu/</v>
      </c>
      <c r="G859" s="2" t="str">
        <f t="shared" ca="1" si="0"/>
        <v>Lincoln University San Francisco</v>
      </c>
      <c r="H859" s="5" t="str">
        <f t="shared" ca="1" si="1"/>
        <v>Lincoln University San Francisco</v>
      </c>
      <c r="I859" s="3" t="str">
        <f t="shared" ca="1" si="2"/>
        <v>'Lincoln University San Francisco',</v>
      </c>
    </row>
    <row r="860" spans="1:9">
      <c r="A860" s="1" t="s">
        <v>858</v>
      </c>
      <c r="B860" s="3" t="str">
        <f ca="1">IFERROR(__xludf.DUMMYFUNCTION("SPLIT(A860,"","")"),"US")</f>
        <v>US</v>
      </c>
      <c r="C860" s="3" t="str">
        <f ca="1">IFERROR(__xludf.DUMMYFUNCTION("""COMPUTED_VALUE"""),"Lindenwood University")</f>
        <v>Lindenwood University</v>
      </c>
      <c r="D860" s="4" t="str">
        <f ca="1">IFERROR(__xludf.DUMMYFUNCTION("""COMPUTED_VALUE"""),"http://www.lindenwood.edu/")</f>
        <v>http://www.lindenwood.edu/</v>
      </c>
      <c r="G860" s="2" t="str">
        <f t="shared" ca="1" si="0"/>
        <v>Lindenwood University</v>
      </c>
      <c r="H860" s="5" t="str">
        <f t="shared" ca="1" si="1"/>
        <v>Lindenwood University</v>
      </c>
      <c r="I860" s="3" t="str">
        <f t="shared" ca="1" si="2"/>
        <v>'Lindenwood University',</v>
      </c>
    </row>
    <row r="861" spans="1:9">
      <c r="A861" s="1" t="s">
        <v>859</v>
      </c>
      <c r="B861" s="3" t="str">
        <f ca="1">IFERROR(__xludf.DUMMYFUNCTION("SPLIT(A861,"","")"),"US")</f>
        <v>US</v>
      </c>
      <c r="C861" s="3" t="str">
        <f ca="1">IFERROR(__xludf.DUMMYFUNCTION("""COMPUTED_VALUE"""),"Lindsey Wilson College")</f>
        <v>Lindsey Wilson College</v>
      </c>
      <c r="D861" s="4" t="str">
        <f ca="1">IFERROR(__xludf.DUMMYFUNCTION("""COMPUTED_VALUE"""),"http://www.lindsey.edu/")</f>
        <v>http://www.lindsey.edu/</v>
      </c>
      <c r="G861" s="2" t="str">
        <f t="shared" ca="1" si="0"/>
        <v>Lindsey Wilson College</v>
      </c>
      <c r="H861" s="5" t="str">
        <f t="shared" ca="1" si="1"/>
        <v>Lindsey Wilson College</v>
      </c>
      <c r="I861" s="3" t="str">
        <f t="shared" ca="1" si="2"/>
        <v>'Lindsey Wilson College',</v>
      </c>
    </row>
    <row r="862" spans="1:9">
      <c r="A862" s="1" t="s">
        <v>860</v>
      </c>
      <c r="B862" s="3" t="str">
        <f ca="1">IFERROR(__xludf.DUMMYFUNCTION("SPLIT(A862,"","")"),"US")</f>
        <v>US</v>
      </c>
      <c r="C862" s="3" t="str">
        <f ca="1">IFERROR(__xludf.DUMMYFUNCTION("""COMPUTED_VALUE"""),"Linfield College")</f>
        <v>Linfield College</v>
      </c>
      <c r="D862" s="4" t="str">
        <f ca="1">IFERROR(__xludf.DUMMYFUNCTION("""COMPUTED_VALUE"""),"http://www.linfield.edu/")</f>
        <v>http://www.linfield.edu/</v>
      </c>
      <c r="G862" s="2" t="str">
        <f t="shared" ca="1" si="0"/>
        <v>Linfield College</v>
      </c>
      <c r="H862" s="5" t="str">
        <f t="shared" ca="1" si="1"/>
        <v>Linfield College</v>
      </c>
      <c r="I862" s="3" t="str">
        <f t="shared" ca="1" si="2"/>
        <v>'Linfield College',</v>
      </c>
    </row>
    <row r="863" spans="1:9">
      <c r="A863" s="1" t="s">
        <v>861</v>
      </c>
      <c r="B863" s="3" t="str">
        <f ca="1">IFERROR(__xludf.DUMMYFUNCTION("SPLIT(A863,"","")"),"US")</f>
        <v>US</v>
      </c>
      <c r="C863" s="3" t="str">
        <f ca="1">IFERROR(__xludf.DUMMYFUNCTION("""COMPUTED_VALUE"""),"Lipscomb University")</f>
        <v>Lipscomb University</v>
      </c>
      <c r="D863" s="4" t="str">
        <f ca="1">IFERROR(__xludf.DUMMYFUNCTION("""COMPUTED_VALUE"""),"http://www.lipscomb.edu/")</f>
        <v>http://www.lipscomb.edu/</v>
      </c>
      <c r="G863" s="2" t="str">
        <f t="shared" ca="1" si="0"/>
        <v>Lipscomb University</v>
      </c>
      <c r="H863" s="5" t="str">
        <f t="shared" ca="1" si="1"/>
        <v>Lipscomb University</v>
      </c>
      <c r="I863" s="3" t="str">
        <f t="shared" ca="1" si="2"/>
        <v>'Lipscomb University',</v>
      </c>
    </row>
    <row r="864" spans="1:9">
      <c r="A864" s="1" t="s">
        <v>862</v>
      </c>
      <c r="B864" s="3" t="str">
        <f ca="1">IFERROR(__xludf.DUMMYFUNCTION("SPLIT(A864,"","")"),"US")</f>
        <v>US</v>
      </c>
      <c r="C864" s="3" t="str">
        <f ca="1">IFERROR(__xludf.DUMMYFUNCTION("""COMPUTED_VALUE"""),"Livingstone College")</f>
        <v>Livingstone College</v>
      </c>
      <c r="D864" s="4" t="str">
        <f ca="1">IFERROR(__xludf.DUMMYFUNCTION("""COMPUTED_VALUE"""),"http://www.livingstone.edu/")</f>
        <v>http://www.livingstone.edu/</v>
      </c>
      <c r="G864" s="2" t="str">
        <f t="shared" ca="1" si="0"/>
        <v>Livingstone College</v>
      </c>
      <c r="H864" s="5" t="str">
        <f t="shared" ca="1" si="1"/>
        <v>Livingstone College</v>
      </c>
      <c r="I864" s="3" t="str">
        <f t="shared" ca="1" si="2"/>
        <v>'Livingstone College',</v>
      </c>
    </row>
    <row r="865" spans="1:9">
      <c r="A865" s="1" t="s">
        <v>863</v>
      </c>
      <c r="B865" s="3" t="str">
        <f ca="1">IFERROR(__xludf.DUMMYFUNCTION("SPLIT(A865,"","")"),"US")</f>
        <v>US</v>
      </c>
      <c r="C865" s="3" t="str">
        <f ca="1">IFERROR(__xludf.DUMMYFUNCTION("""COMPUTED_VALUE"""),"Lock Haven University of Pennsylvania")</f>
        <v>Lock Haven University of Pennsylvania</v>
      </c>
      <c r="D865" s="4" t="str">
        <f ca="1">IFERROR(__xludf.DUMMYFUNCTION("""COMPUTED_VALUE"""),"http://www.lhup.edu/")</f>
        <v>http://www.lhup.edu/</v>
      </c>
      <c r="G865" s="2" t="str">
        <f t="shared" ca="1" si="0"/>
        <v>Lock Haven University of Pennsylvania</v>
      </c>
      <c r="H865" s="5" t="str">
        <f t="shared" ca="1" si="1"/>
        <v>Lock Haven University of Pennsylvania</v>
      </c>
      <c r="I865" s="3" t="str">
        <f t="shared" ca="1" si="2"/>
        <v>'Lock Haven University of Pennsylvania',</v>
      </c>
    </row>
    <row r="866" spans="1:9">
      <c r="A866" s="1" t="s">
        <v>864</v>
      </c>
      <c r="B866" s="3" t="str">
        <f ca="1">IFERROR(__xludf.DUMMYFUNCTION("SPLIT(A866,"","")"),"US")</f>
        <v>US</v>
      </c>
      <c r="C866" s="3" t="str">
        <f ca="1">IFERROR(__xludf.DUMMYFUNCTION("""COMPUTED_VALUE"""),"Logan College of Chiropractic")</f>
        <v>Logan College of Chiropractic</v>
      </c>
      <c r="D866" s="4" t="str">
        <f ca="1">IFERROR(__xludf.DUMMYFUNCTION("""COMPUTED_VALUE"""),"http://www.logan.edu/")</f>
        <v>http://www.logan.edu/</v>
      </c>
      <c r="G866" s="2" t="str">
        <f t="shared" ca="1" si="0"/>
        <v>Logan College of Chiropractic</v>
      </c>
      <c r="H866" s="5" t="str">
        <f t="shared" ca="1" si="1"/>
        <v>Logan College of Chiropractic</v>
      </c>
      <c r="I866" s="3" t="str">
        <f t="shared" ca="1" si="2"/>
        <v>'Logan College of Chiropractic',</v>
      </c>
    </row>
    <row r="867" spans="1:9">
      <c r="A867" s="1" t="s">
        <v>865</v>
      </c>
      <c r="B867" s="3" t="str">
        <f ca="1">IFERROR(__xludf.DUMMYFUNCTION("SPLIT(A867,"","")"),"US")</f>
        <v>US</v>
      </c>
      <c r="C867" s="3" t="str">
        <f ca="1">IFERROR(__xludf.DUMMYFUNCTION("""COMPUTED_VALUE"""),"Loma Linda University")</f>
        <v>Loma Linda University</v>
      </c>
      <c r="D867" s="4" t="str">
        <f ca="1">IFERROR(__xludf.DUMMYFUNCTION("""COMPUTED_VALUE"""),"http://www.llu.edu/")</f>
        <v>http://www.llu.edu/</v>
      </c>
      <c r="G867" s="2" t="str">
        <f t="shared" ca="1" si="0"/>
        <v>Loma Linda University</v>
      </c>
      <c r="H867" s="5" t="str">
        <f t="shared" ca="1" si="1"/>
        <v>Loma Linda University</v>
      </c>
      <c r="I867" s="3" t="str">
        <f t="shared" ca="1" si="2"/>
        <v>'Loma Linda University',</v>
      </c>
    </row>
    <row r="868" spans="1:9">
      <c r="A868" s="1" t="s">
        <v>866</v>
      </c>
      <c r="B868" s="3" t="str">
        <f ca="1">IFERROR(__xludf.DUMMYFUNCTION("SPLIT(A868,"","")"),"US")</f>
        <v>US</v>
      </c>
      <c r="C868" s="3" t="str">
        <f ca="1">IFERROR(__xludf.DUMMYFUNCTION("""COMPUTED_VALUE"""),"Long Island University")</f>
        <v>Long Island University</v>
      </c>
      <c r="D868" s="4" t="str">
        <f ca="1">IFERROR(__xludf.DUMMYFUNCTION("""COMPUTED_VALUE"""),"http://www.liunet.edu/")</f>
        <v>http://www.liunet.edu/</v>
      </c>
      <c r="G868" s="2" t="str">
        <f t="shared" ca="1" si="0"/>
        <v>Long Island University</v>
      </c>
      <c r="H868" s="5" t="str">
        <f t="shared" ca="1" si="1"/>
        <v>Long Island University</v>
      </c>
      <c r="I868" s="3" t="str">
        <f t="shared" ca="1" si="2"/>
        <v>'Long Island University',</v>
      </c>
    </row>
    <row r="869" spans="1:9">
      <c r="A869" s="1" t="s">
        <v>867</v>
      </c>
      <c r="B869" s="3" t="str">
        <f ca="1">IFERROR(__xludf.DUMMYFUNCTION("SPLIT(A869,"","")"),"US")</f>
        <v>US</v>
      </c>
      <c r="C869" s="3" t="str">
        <f ca="1">IFERROR(__xludf.DUMMYFUNCTION("""COMPUTED_VALUE"""),"""Long Island University")</f>
        <v>"Long Island University</v>
      </c>
      <c r="D869" s="3" t="str">
        <f ca="1">IFERROR(__xludf.DUMMYFUNCTION("""COMPUTED_VALUE""")," C.W. Post Campus""")</f>
        <v xml:space="preserve"> C.W. Post Campus"</v>
      </c>
      <c r="E869" s="4" t="str">
        <f ca="1">IFERROR(__xludf.DUMMYFUNCTION("""COMPUTED_VALUE"""),"http://www.cwpost.liunet.edu/cwis/cwp/post.html")</f>
        <v>http://www.cwpost.liunet.edu/cwis/cwp/post.html</v>
      </c>
      <c r="G869" s="2" t="str">
        <f t="shared" ca="1" si="0"/>
        <v>"Long Island University</v>
      </c>
      <c r="H869" s="5" t="str">
        <f t="shared" ca="1" si="1"/>
        <v>Long Island University</v>
      </c>
      <c r="I869" s="3" t="str">
        <f t="shared" ca="1" si="2"/>
        <v>'Long Island University',</v>
      </c>
    </row>
    <row r="870" spans="1:9">
      <c r="A870" s="1" t="s">
        <v>868</v>
      </c>
      <c r="B870" s="3" t="str">
        <f ca="1">IFERROR(__xludf.DUMMYFUNCTION("SPLIT(A870,"","")"),"US")</f>
        <v>US</v>
      </c>
      <c r="C870" s="3" t="str">
        <f ca="1">IFERROR(__xludf.DUMMYFUNCTION("""COMPUTED_VALUE"""),"""Long Island University")</f>
        <v>"Long Island University</v>
      </c>
      <c r="D870" s="3" t="str">
        <f ca="1">IFERROR(__xludf.DUMMYFUNCTION("""COMPUTED_VALUE""")," Southampton College""")</f>
        <v xml:space="preserve"> Southampton College"</v>
      </c>
      <c r="E870" s="4" t="str">
        <f ca="1">IFERROR(__xludf.DUMMYFUNCTION("""COMPUTED_VALUE"""),"http://www.southampton.liunet.edu/")</f>
        <v>http://www.southampton.liunet.edu/</v>
      </c>
      <c r="G870" s="2" t="str">
        <f t="shared" ca="1" si="0"/>
        <v>"Long Island University</v>
      </c>
      <c r="H870" s="5" t="str">
        <f t="shared" ca="1" si="1"/>
        <v>Long Island University</v>
      </c>
      <c r="I870" s="3" t="str">
        <f t="shared" ca="1" si="2"/>
        <v>'Long Island University',</v>
      </c>
    </row>
    <row r="871" spans="1:9">
      <c r="A871" s="1" t="s">
        <v>869</v>
      </c>
      <c r="B871" s="3" t="str">
        <f ca="1">IFERROR(__xludf.DUMMYFUNCTION("SPLIT(A871,"","")"),"US")</f>
        <v>US</v>
      </c>
      <c r="C871" s="3" t="str">
        <f ca="1">IFERROR(__xludf.DUMMYFUNCTION("""COMPUTED_VALUE"""),"Longwood College")</f>
        <v>Longwood College</v>
      </c>
      <c r="D871" s="4" t="str">
        <f ca="1">IFERROR(__xludf.DUMMYFUNCTION("""COMPUTED_VALUE"""),"http://www.lwc.edu/")</f>
        <v>http://www.lwc.edu/</v>
      </c>
      <c r="G871" s="2" t="str">
        <f t="shared" ca="1" si="0"/>
        <v>Longwood College</v>
      </c>
      <c r="H871" s="5" t="str">
        <f t="shared" ca="1" si="1"/>
        <v>Longwood College</v>
      </c>
      <c r="I871" s="3" t="str">
        <f t="shared" ca="1" si="2"/>
        <v>'Longwood College',</v>
      </c>
    </row>
    <row r="872" spans="1:9">
      <c r="A872" s="1" t="s">
        <v>870</v>
      </c>
      <c r="B872" s="3" t="str">
        <f ca="1">IFERROR(__xludf.DUMMYFUNCTION("SPLIT(A872,"","")"),"US")</f>
        <v>US</v>
      </c>
      <c r="C872" s="3" t="str">
        <f ca="1">IFERROR(__xludf.DUMMYFUNCTION("""COMPUTED_VALUE"""),"Loras College")</f>
        <v>Loras College</v>
      </c>
      <c r="D872" s="4" t="str">
        <f ca="1">IFERROR(__xludf.DUMMYFUNCTION("""COMPUTED_VALUE"""),"http://www.loras.edu/")</f>
        <v>http://www.loras.edu/</v>
      </c>
      <c r="G872" s="2" t="str">
        <f t="shared" ca="1" si="0"/>
        <v>Loras College</v>
      </c>
      <c r="H872" s="5" t="str">
        <f t="shared" ca="1" si="1"/>
        <v>Loras College</v>
      </c>
      <c r="I872" s="3" t="str">
        <f t="shared" ca="1" si="2"/>
        <v>'Loras College',</v>
      </c>
    </row>
    <row r="873" spans="1:9">
      <c r="A873" s="1" t="s">
        <v>871</v>
      </c>
      <c r="B873" s="3" t="str">
        <f ca="1">IFERROR(__xludf.DUMMYFUNCTION("SPLIT(A873,"","")"),"US")</f>
        <v>US</v>
      </c>
      <c r="C873" s="3" t="str">
        <f ca="1">IFERROR(__xludf.DUMMYFUNCTION("""COMPUTED_VALUE"""),"Los Angeles College of Chiropractic")</f>
        <v>Los Angeles College of Chiropractic</v>
      </c>
      <c r="D873" s="4" t="str">
        <f ca="1">IFERROR(__xludf.DUMMYFUNCTION("""COMPUTED_VALUE"""),"http://www.lacc.edu/")</f>
        <v>http://www.lacc.edu/</v>
      </c>
      <c r="G873" s="2" t="str">
        <f t="shared" ca="1" si="0"/>
        <v>Los Angeles College of Chiropractic</v>
      </c>
      <c r="H873" s="5" t="str">
        <f t="shared" ca="1" si="1"/>
        <v>Los Angeles College of Chiropractic</v>
      </c>
      <c r="I873" s="3" t="str">
        <f t="shared" ca="1" si="2"/>
        <v>'Los Angeles College of Chiropractic',</v>
      </c>
    </row>
    <row r="874" spans="1:9">
      <c r="A874" s="1" t="s">
        <v>872</v>
      </c>
      <c r="B874" s="3" t="str">
        <f ca="1">IFERROR(__xludf.DUMMYFUNCTION("SPLIT(A874,"","")"),"US")</f>
        <v>US</v>
      </c>
      <c r="C874" s="3" t="str">
        <f ca="1">IFERROR(__xludf.DUMMYFUNCTION("""COMPUTED_VALUE"""),"Louisiana Baptist University")</f>
        <v>Louisiana Baptist University</v>
      </c>
      <c r="D874" s="4" t="str">
        <f ca="1">IFERROR(__xludf.DUMMYFUNCTION("""COMPUTED_VALUE"""),"http://www.lbu.edu/")</f>
        <v>http://www.lbu.edu/</v>
      </c>
      <c r="G874" s="2" t="str">
        <f t="shared" ca="1" si="0"/>
        <v>Louisiana Baptist University</v>
      </c>
      <c r="H874" s="5" t="str">
        <f t="shared" ca="1" si="1"/>
        <v>Louisiana Baptist University</v>
      </c>
      <c r="I874" s="3" t="str">
        <f t="shared" ca="1" si="2"/>
        <v>'Louisiana Baptist University',</v>
      </c>
    </row>
    <row r="875" spans="1:9">
      <c r="A875" s="1" t="s">
        <v>873</v>
      </c>
      <c r="B875" s="3" t="str">
        <f ca="1">IFERROR(__xludf.DUMMYFUNCTION("SPLIT(A875,"","")"),"US")</f>
        <v>US</v>
      </c>
      <c r="C875" s="3" t="str">
        <f ca="1">IFERROR(__xludf.DUMMYFUNCTION("""COMPUTED_VALUE"""),"Louisiana College")</f>
        <v>Louisiana College</v>
      </c>
      <c r="D875" s="4" t="str">
        <f ca="1">IFERROR(__xludf.DUMMYFUNCTION("""COMPUTED_VALUE"""),"http://www.lacollege.edu/")</f>
        <v>http://www.lacollege.edu/</v>
      </c>
      <c r="G875" s="2" t="str">
        <f t="shared" ca="1" si="0"/>
        <v>Louisiana College</v>
      </c>
      <c r="H875" s="5" t="str">
        <f t="shared" ca="1" si="1"/>
        <v>Louisiana College</v>
      </c>
      <c r="I875" s="3" t="str">
        <f t="shared" ca="1" si="2"/>
        <v>'Louisiana College',</v>
      </c>
    </row>
    <row r="876" spans="1:9">
      <c r="A876" s="1" t="s">
        <v>874</v>
      </c>
      <c r="B876" s="3" t="str">
        <f ca="1">IFERROR(__xludf.DUMMYFUNCTION("SPLIT(A876,"","")"),"US")</f>
        <v>US</v>
      </c>
      <c r="C876" s="3" t="str">
        <f ca="1">IFERROR(__xludf.DUMMYFUNCTION("""COMPUTED_VALUE"""),"Louisiana State University and Agricultural and Mechanical College")</f>
        <v>Louisiana State University and Agricultural and Mechanical College</v>
      </c>
      <c r="D876" s="4" t="str">
        <f ca="1">IFERROR(__xludf.DUMMYFUNCTION("""COMPUTED_VALUE"""),"http://www.lsu.edu/")</f>
        <v>http://www.lsu.edu/</v>
      </c>
      <c r="G876" s="2" t="str">
        <f t="shared" ca="1" si="0"/>
        <v>Louisiana State University and Agricultural and Mechanical College</v>
      </c>
      <c r="H876" s="5" t="str">
        <f t="shared" ca="1" si="1"/>
        <v>Louisiana State University and Agricultural and Mechanical College</v>
      </c>
      <c r="I876" s="3" t="str">
        <f t="shared" ca="1" si="2"/>
        <v>'Louisiana State University and Agricultural and Mechanical College',</v>
      </c>
    </row>
    <row r="877" spans="1:9">
      <c r="A877" s="1" t="s">
        <v>875</v>
      </c>
      <c r="B877" s="3" t="str">
        <f ca="1">IFERROR(__xludf.DUMMYFUNCTION("SPLIT(A877,"","")"),"US")</f>
        <v>US</v>
      </c>
      <c r="C877" s="3" t="str">
        <f ca="1">IFERROR(__xludf.DUMMYFUNCTION("""COMPUTED_VALUE"""),"Louisiana State University at Alexandria")</f>
        <v>Louisiana State University at Alexandria</v>
      </c>
      <c r="D877" s="4" t="str">
        <f ca="1">IFERROR(__xludf.DUMMYFUNCTION("""COMPUTED_VALUE"""),"http://www.lsua.edu/")</f>
        <v>http://www.lsua.edu/</v>
      </c>
      <c r="G877" s="2" t="str">
        <f t="shared" ca="1" si="0"/>
        <v>Louisiana State University at Alexandria</v>
      </c>
      <c r="H877" s="5" t="str">
        <f t="shared" ca="1" si="1"/>
        <v>Louisiana State University at Alexandria</v>
      </c>
      <c r="I877" s="3" t="str">
        <f t="shared" ca="1" si="2"/>
        <v>'Louisiana State University at Alexandria',</v>
      </c>
    </row>
    <row r="878" spans="1:9">
      <c r="A878" s="1" t="s">
        <v>876</v>
      </c>
      <c r="B878" s="3" t="str">
        <f ca="1">IFERROR(__xludf.DUMMYFUNCTION("SPLIT(A878,"","")"),"US")</f>
        <v>US</v>
      </c>
      <c r="C878" s="3" t="str">
        <f ca="1">IFERROR(__xludf.DUMMYFUNCTION("""COMPUTED_VALUE"""),"Louisiana State University at Eunice")</f>
        <v>Louisiana State University at Eunice</v>
      </c>
      <c r="D878" s="4" t="str">
        <f ca="1">IFERROR(__xludf.DUMMYFUNCTION("""COMPUTED_VALUE"""),"http://www.lsue.edu/")</f>
        <v>http://www.lsue.edu/</v>
      </c>
      <c r="G878" s="2" t="str">
        <f t="shared" ca="1" si="0"/>
        <v>Louisiana State University at Eunice</v>
      </c>
      <c r="H878" s="5" t="str">
        <f t="shared" ca="1" si="1"/>
        <v>Louisiana State University at Eunice</v>
      </c>
      <c r="I878" s="3" t="str">
        <f t="shared" ca="1" si="2"/>
        <v>'Louisiana State University at Eunice',</v>
      </c>
    </row>
    <row r="879" spans="1:9">
      <c r="A879" s="1" t="s">
        <v>877</v>
      </c>
      <c r="B879" s="3" t="str">
        <f ca="1">IFERROR(__xludf.DUMMYFUNCTION("SPLIT(A879,"","")"),"US")</f>
        <v>US</v>
      </c>
      <c r="C879" s="3" t="str">
        <f ca="1">IFERROR(__xludf.DUMMYFUNCTION("""COMPUTED_VALUE"""),"Louisiana State University Health Sciences Center New Orleans")</f>
        <v>Louisiana State University Health Sciences Center New Orleans</v>
      </c>
      <c r="D879" s="4" t="str">
        <f ca="1">IFERROR(__xludf.DUMMYFUNCTION("""COMPUTED_VALUE"""),"http://www.lsuhsc.edu/")</f>
        <v>http://www.lsuhsc.edu/</v>
      </c>
      <c r="G879" s="2" t="str">
        <f t="shared" ca="1" si="0"/>
        <v>Louisiana State University Health Sciences Center New Orleans</v>
      </c>
      <c r="H879" s="5" t="str">
        <f t="shared" ca="1" si="1"/>
        <v>Louisiana State University Health Sciences Center New Orleans</v>
      </c>
      <c r="I879" s="3" t="str">
        <f t="shared" ca="1" si="2"/>
        <v>'Louisiana State University Health Sciences Center New Orleans',</v>
      </c>
    </row>
    <row r="880" spans="1:9">
      <c r="A880" s="1" t="s">
        <v>878</v>
      </c>
      <c r="B880" s="3" t="str">
        <f ca="1">IFERROR(__xludf.DUMMYFUNCTION("SPLIT(A880,"","")"),"US")</f>
        <v>US</v>
      </c>
      <c r="C880" s="3" t="str">
        <f ca="1">IFERROR(__xludf.DUMMYFUNCTION("""COMPUTED_VALUE"""),"Louisiana State University in Shreveport")</f>
        <v>Louisiana State University in Shreveport</v>
      </c>
      <c r="D880" s="4" t="str">
        <f ca="1">IFERROR(__xludf.DUMMYFUNCTION("""COMPUTED_VALUE"""),"http://www.lsus.edu/")</f>
        <v>http://www.lsus.edu/</v>
      </c>
      <c r="G880" s="2" t="str">
        <f t="shared" ca="1" si="0"/>
        <v>Louisiana State University in Shreveport</v>
      </c>
      <c r="H880" s="5" t="str">
        <f t="shared" ca="1" si="1"/>
        <v>Louisiana State University in Shreveport</v>
      </c>
      <c r="I880" s="3" t="str">
        <f t="shared" ca="1" si="2"/>
        <v>'Louisiana State University in Shreveport',</v>
      </c>
    </row>
    <row r="881" spans="1:9">
      <c r="A881" s="1" t="s">
        <v>879</v>
      </c>
      <c r="B881" s="3" t="str">
        <f ca="1">IFERROR(__xludf.DUMMYFUNCTION("SPLIT(A881,"","")"),"US")</f>
        <v>US</v>
      </c>
      <c r="C881" s="3" t="str">
        <f ca="1">IFERROR(__xludf.DUMMYFUNCTION("""COMPUTED_VALUE"""),"Louisiana Tech University")</f>
        <v>Louisiana Tech University</v>
      </c>
      <c r="D881" s="4" t="str">
        <f ca="1">IFERROR(__xludf.DUMMYFUNCTION("""COMPUTED_VALUE"""),"http://www.latech.edu/")</f>
        <v>http://www.latech.edu/</v>
      </c>
      <c r="G881" s="2" t="str">
        <f t="shared" ca="1" si="0"/>
        <v>Louisiana Tech University</v>
      </c>
      <c r="H881" s="5" t="str">
        <f t="shared" ca="1" si="1"/>
        <v>Louisiana Tech University</v>
      </c>
      <c r="I881" s="3" t="str">
        <f t="shared" ca="1" si="2"/>
        <v>'Louisiana Tech University',</v>
      </c>
    </row>
    <row r="882" spans="1:9">
      <c r="A882" s="1" t="s">
        <v>880</v>
      </c>
      <c r="B882" s="3" t="str">
        <f ca="1">IFERROR(__xludf.DUMMYFUNCTION("SPLIT(A882,"","")"),"US")</f>
        <v>US</v>
      </c>
      <c r="C882" s="3" t="str">
        <f ca="1">IFERROR(__xludf.DUMMYFUNCTION("""COMPUTED_VALUE"""),"Lourdes College")</f>
        <v>Lourdes College</v>
      </c>
      <c r="D882" s="4" t="str">
        <f ca="1">IFERROR(__xludf.DUMMYFUNCTION("""COMPUTED_VALUE"""),"http://www.lourdes.edu/")</f>
        <v>http://www.lourdes.edu/</v>
      </c>
      <c r="G882" s="2" t="str">
        <f t="shared" ca="1" si="0"/>
        <v>Lourdes College</v>
      </c>
      <c r="H882" s="5" t="str">
        <f t="shared" ca="1" si="1"/>
        <v>Lourdes College</v>
      </c>
      <c r="I882" s="3" t="str">
        <f t="shared" ca="1" si="2"/>
        <v>'Lourdes College',</v>
      </c>
    </row>
    <row r="883" spans="1:9">
      <c r="A883" s="1" t="s">
        <v>881</v>
      </c>
      <c r="B883" s="3" t="str">
        <f ca="1">IFERROR(__xludf.DUMMYFUNCTION("SPLIT(A883,"","")"),"US")</f>
        <v>US</v>
      </c>
      <c r="C883" s="3" t="str">
        <f ca="1">IFERROR(__xludf.DUMMYFUNCTION("""COMPUTED_VALUE"""),"Loyola College in Maryland")</f>
        <v>Loyola College in Maryland</v>
      </c>
      <c r="D883" s="4" t="str">
        <f ca="1">IFERROR(__xludf.DUMMYFUNCTION("""COMPUTED_VALUE"""),"http://www.loyola.edu/")</f>
        <v>http://www.loyola.edu/</v>
      </c>
      <c r="G883" s="2" t="str">
        <f t="shared" ca="1" si="0"/>
        <v>Loyola College in Maryland</v>
      </c>
      <c r="H883" s="5" t="str">
        <f t="shared" ca="1" si="1"/>
        <v>Loyola College in Maryland</v>
      </c>
      <c r="I883" s="3" t="str">
        <f t="shared" ca="1" si="2"/>
        <v>'Loyola College in Maryland',</v>
      </c>
    </row>
    <row r="884" spans="1:9">
      <c r="A884" s="1" t="s">
        <v>882</v>
      </c>
      <c r="B884" s="3" t="str">
        <f ca="1">IFERROR(__xludf.DUMMYFUNCTION("SPLIT(A884,"","")"),"US")</f>
        <v>US</v>
      </c>
      <c r="C884" s="3" t="str">
        <f ca="1">IFERROR(__xludf.DUMMYFUNCTION("""COMPUTED_VALUE"""),"Loyola Marymount University")</f>
        <v>Loyola Marymount University</v>
      </c>
      <c r="D884" s="4" t="str">
        <f ca="1">IFERROR(__xludf.DUMMYFUNCTION("""COMPUTED_VALUE"""),"http://www.lmu.edu/")</f>
        <v>http://www.lmu.edu/</v>
      </c>
      <c r="G884" s="2" t="str">
        <f t="shared" ca="1" si="0"/>
        <v>Loyola Marymount University</v>
      </c>
      <c r="H884" s="5" t="str">
        <f t="shared" ca="1" si="1"/>
        <v>Loyola Marymount University</v>
      </c>
      <c r="I884" s="3" t="str">
        <f t="shared" ca="1" si="2"/>
        <v>'Loyola Marymount University',</v>
      </c>
    </row>
    <row r="885" spans="1:9">
      <c r="A885" s="1" t="s">
        <v>883</v>
      </c>
      <c r="B885" s="3" t="str">
        <f ca="1">IFERROR(__xludf.DUMMYFUNCTION("SPLIT(A885,"","")"),"US")</f>
        <v>US</v>
      </c>
      <c r="C885" s="3" t="str">
        <f ca="1">IFERROR(__xludf.DUMMYFUNCTION("""COMPUTED_VALUE"""),"Loyola University New Orleans")</f>
        <v>Loyola University New Orleans</v>
      </c>
      <c r="D885" s="4" t="str">
        <f ca="1">IFERROR(__xludf.DUMMYFUNCTION("""COMPUTED_VALUE"""),"http://www.loyno.edu/")</f>
        <v>http://www.loyno.edu/</v>
      </c>
      <c r="G885" s="2" t="str">
        <f t="shared" ca="1" si="0"/>
        <v>Loyola University New Orleans</v>
      </c>
      <c r="H885" s="5" t="str">
        <f t="shared" ca="1" si="1"/>
        <v>Loyola University New Orleans</v>
      </c>
      <c r="I885" s="3" t="str">
        <f t="shared" ca="1" si="2"/>
        <v>'Loyola University New Orleans',</v>
      </c>
    </row>
    <row r="886" spans="1:9">
      <c r="A886" s="1" t="s">
        <v>884</v>
      </c>
      <c r="B886" s="3" t="str">
        <f ca="1">IFERROR(__xludf.DUMMYFUNCTION("SPLIT(A886,"","")"),"US")</f>
        <v>US</v>
      </c>
      <c r="C886" s="3" t="str">
        <f ca="1">IFERROR(__xludf.DUMMYFUNCTION("""COMPUTED_VALUE"""),"Loyola University of Chicago")</f>
        <v>Loyola University of Chicago</v>
      </c>
      <c r="D886" s="4" t="str">
        <f ca="1">IFERROR(__xludf.DUMMYFUNCTION("""COMPUTED_VALUE"""),"http://www.luc.edu/")</f>
        <v>http://www.luc.edu/</v>
      </c>
      <c r="G886" s="2" t="str">
        <f t="shared" ca="1" si="0"/>
        <v>Loyola University of Chicago</v>
      </c>
      <c r="H886" s="5" t="str">
        <f t="shared" ca="1" si="1"/>
        <v>Loyola University of Chicago</v>
      </c>
      <c r="I886" s="3" t="str">
        <f t="shared" ca="1" si="2"/>
        <v>'Loyola University of Chicago',</v>
      </c>
    </row>
    <row r="887" spans="1:9">
      <c r="A887" s="1" t="s">
        <v>885</v>
      </c>
      <c r="B887" s="3" t="str">
        <f ca="1">IFERROR(__xludf.DUMMYFUNCTION("SPLIT(A887,"","")"),"US")</f>
        <v>US</v>
      </c>
      <c r="C887" s="3" t="str">
        <f ca="1">IFERROR(__xludf.DUMMYFUNCTION("""COMPUTED_VALUE"""),"Lubbock Christian University")</f>
        <v>Lubbock Christian University</v>
      </c>
      <c r="D887" s="4" t="str">
        <f ca="1">IFERROR(__xludf.DUMMYFUNCTION("""COMPUTED_VALUE"""),"http://www.lcu.edu/")</f>
        <v>http://www.lcu.edu/</v>
      </c>
      <c r="G887" s="2" t="str">
        <f t="shared" ca="1" si="0"/>
        <v>Lubbock Christian University</v>
      </c>
      <c r="H887" s="5" t="str">
        <f t="shared" ca="1" si="1"/>
        <v>Lubbock Christian University</v>
      </c>
      <c r="I887" s="3" t="str">
        <f t="shared" ca="1" si="2"/>
        <v>'Lubbock Christian University',</v>
      </c>
    </row>
    <row r="888" spans="1:9">
      <c r="A888" s="1" t="s">
        <v>886</v>
      </c>
      <c r="B888" s="3" t="str">
        <f ca="1">IFERROR(__xludf.DUMMYFUNCTION("SPLIT(A888,"","")"),"US")</f>
        <v>US</v>
      </c>
      <c r="C888" s="3" t="str">
        <f ca="1">IFERROR(__xludf.DUMMYFUNCTION("""COMPUTED_VALUE"""),"Lutheran Bible Institute of Seattle")</f>
        <v>Lutheran Bible Institute of Seattle</v>
      </c>
      <c r="D888" s="4" t="str">
        <f ca="1">IFERROR(__xludf.DUMMYFUNCTION("""COMPUTED_VALUE"""),"http://www.lbi.edu/")</f>
        <v>http://www.lbi.edu/</v>
      </c>
      <c r="G888" s="2" t="str">
        <f t="shared" ca="1" si="0"/>
        <v>Lutheran Bible Institute of Seattle</v>
      </c>
      <c r="H888" s="5" t="str">
        <f t="shared" ca="1" si="1"/>
        <v>Lutheran Bible Institute of Seattle</v>
      </c>
      <c r="I888" s="3" t="str">
        <f t="shared" ca="1" si="2"/>
        <v>'Lutheran Bible Institute of Seattle',</v>
      </c>
    </row>
    <row r="889" spans="1:9">
      <c r="A889" s="1" t="s">
        <v>887</v>
      </c>
      <c r="B889" s="3" t="str">
        <f ca="1">IFERROR(__xludf.DUMMYFUNCTION("SPLIT(A889,"","")"),"US")</f>
        <v>US</v>
      </c>
      <c r="C889" s="3" t="str">
        <f ca="1">IFERROR(__xludf.DUMMYFUNCTION("""COMPUTED_VALUE"""),"Luther College")</f>
        <v>Luther College</v>
      </c>
      <c r="D889" s="4" t="str">
        <f ca="1">IFERROR(__xludf.DUMMYFUNCTION("""COMPUTED_VALUE"""),"http://www.luther.edu/")</f>
        <v>http://www.luther.edu/</v>
      </c>
      <c r="G889" s="2" t="str">
        <f t="shared" ca="1" si="0"/>
        <v>Luther College</v>
      </c>
      <c r="H889" s="5" t="str">
        <f t="shared" ca="1" si="1"/>
        <v>Luther College</v>
      </c>
      <c r="I889" s="3" t="str">
        <f t="shared" ca="1" si="2"/>
        <v>'Luther College',</v>
      </c>
    </row>
    <row r="890" spans="1:9">
      <c r="A890" s="1" t="s">
        <v>888</v>
      </c>
      <c r="B890" s="3" t="str">
        <f ca="1">IFERROR(__xludf.DUMMYFUNCTION("SPLIT(A890,"","")"),"US")</f>
        <v>US</v>
      </c>
      <c r="C890" s="3" t="str">
        <f ca="1">IFERROR(__xludf.DUMMYFUNCTION("""COMPUTED_VALUE"""),"Lycoming College")</f>
        <v>Lycoming College</v>
      </c>
      <c r="D890" s="4" t="str">
        <f ca="1">IFERROR(__xludf.DUMMYFUNCTION("""COMPUTED_VALUE"""),"http://www.lycoming.edu/")</f>
        <v>http://www.lycoming.edu/</v>
      </c>
      <c r="G890" s="2" t="str">
        <f t="shared" ca="1" si="0"/>
        <v>Lycoming College</v>
      </c>
      <c r="H890" s="5" t="str">
        <f t="shared" ca="1" si="1"/>
        <v>Lycoming College</v>
      </c>
      <c r="I890" s="3" t="str">
        <f t="shared" ca="1" si="2"/>
        <v>'Lycoming College',</v>
      </c>
    </row>
    <row r="891" spans="1:9">
      <c r="A891" s="1" t="s">
        <v>889</v>
      </c>
      <c r="B891" s="3" t="str">
        <f ca="1">IFERROR(__xludf.DUMMYFUNCTION("SPLIT(A891,"","")"),"US")</f>
        <v>US</v>
      </c>
      <c r="C891" s="3" t="str">
        <f ca="1">IFERROR(__xludf.DUMMYFUNCTION("""COMPUTED_VALUE"""),"Lynchburg College")</f>
        <v>Lynchburg College</v>
      </c>
      <c r="D891" s="4" t="str">
        <f ca="1">IFERROR(__xludf.DUMMYFUNCTION("""COMPUTED_VALUE"""),"http://www.lynchburg.edu/")</f>
        <v>http://www.lynchburg.edu/</v>
      </c>
      <c r="G891" s="2" t="str">
        <f t="shared" ca="1" si="0"/>
        <v>Lynchburg College</v>
      </c>
      <c r="H891" s="5" t="str">
        <f t="shared" ca="1" si="1"/>
        <v>Lynchburg College</v>
      </c>
      <c r="I891" s="3" t="str">
        <f t="shared" ca="1" si="2"/>
        <v>'Lynchburg College',</v>
      </c>
    </row>
    <row r="892" spans="1:9">
      <c r="A892" s="1" t="s">
        <v>890</v>
      </c>
      <c r="B892" s="3" t="str">
        <f ca="1">IFERROR(__xludf.DUMMYFUNCTION("SPLIT(A892,"","")"),"US")</f>
        <v>US</v>
      </c>
      <c r="C892" s="3" t="str">
        <f ca="1">IFERROR(__xludf.DUMMYFUNCTION("""COMPUTED_VALUE"""),"Lyndon State College")</f>
        <v>Lyndon State College</v>
      </c>
      <c r="D892" s="4" t="str">
        <f ca="1">IFERROR(__xludf.DUMMYFUNCTION("""COMPUTED_VALUE"""),"http://www.lsc.vsc.edu/")</f>
        <v>http://www.lsc.vsc.edu/</v>
      </c>
      <c r="G892" s="2" t="str">
        <f t="shared" ca="1" si="0"/>
        <v>Lyndon State College</v>
      </c>
      <c r="H892" s="5" t="str">
        <f t="shared" ca="1" si="1"/>
        <v>Lyndon State College</v>
      </c>
      <c r="I892" s="3" t="str">
        <f t="shared" ca="1" si="2"/>
        <v>'Lyndon State College',</v>
      </c>
    </row>
    <row r="893" spans="1:9">
      <c r="A893" s="1" t="s">
        <v>891</v>
      </c>
      <c r="B893" s="3" t="str">
        <f ca="1">IFERROR(__xludf.DUMMYFUNCTION("SPLIT(A893,"","")"),"US")</f>
        <v>US</v>
      </c>
      <c r="C893" s="3" t="str">
        <f ca="1">IFERROR(__xludf.DUMMYFUNCTION("""COMPUTED_VALUE"""),"Lynn University")</f>
        <v>Lynn University</v>
      </c>
      <c r="D893" s="4" t="str">
        <f ca="1">IFERROR(__xludf.DUMMYFUNCTION("""COMPUTED_VALUE"""),"http://www.lynn.edu/")</f>
        <v>http://www.lynn.edu/</v>
      </c>
      <c r="G893" s="2" t="str">
        <f t="shared" ca="1" si="0"/>
        <v>Lynn University</v>
      </c>
      <c r="H893" s="5" t="str">
        <f t="shared" ca="1" si="1"/>
        <v>Lynn University</v>
      </c>
      <c r="I893" s="3" t="str">
        <f t="shared" ca="1" si="2"/>
        <v>'Lynn University',</v>
      </c>
    </row>
    <row r="894" spans="1:9">
      <c r="A894" s="1" t="s">
        <v>892</v>
      </c>
      <c r="B894" s="3" t="str">
        <f ca="1">IFERROR(__xludf.DUMMYFUNCTION("SPLIT(A894,"","")"),"US")</f>
        <v>US</v>
      </c>
      <c r="C894" s="3" t="str">
        <f ca="1">IFERROR(__xludf.DUMMYFUNCTION("""COMPUTED_VALUE"""),"Lyon College")</f>
        <v>Lyon College</v>
      </c>
      <c r="D894" s="4" t="str">
        <f ca="1">IFERROR(__xludf.DUMMYFUNCTION("""COMPUTED_VALUE"""),"http://www.lyon.edu/")</f>
        <v>http://www.lyon.edu/</v>
      </c>
      <c r="G894" s="2" t="str">
        <f t="shared" ca="1" si="0"/>
        <v>Lyon College</v>
      </c>
      <c r="H894" s="5" t="str">
        <f t="shared" ca="1" si="1"/>
        <v>Lyon College</v>
      </c>
      <c r="I894" s="3" t="str">
        <f t="shared" ca="1" si="2"/>
        <v>'Lyon College',</v>
      </c>
    </row>
    <row r="895" spans="1:9">
      <c r="A895" s="1" t="s">
        <v>893</v>
      </c>
      <c r="B895" s="3" t="str">
        <f ca="1">IFERROR(__xludf.DUMMYFUNCTION("SPLIT(A895,"","")"),"US")</f>
        <v>US</v>
      </c>
      <c r="C895" s="3" t="str">
        <f ca="1">IFERROR(__xludf.DUMMYFUNCTION("""COMPUTED_VALUE"""),"Macalester College")</f>
        <v>Macalester College</v>
      </c>
      <c r="D895" s="4" t="str">
        <f ca="1">IFERROR(__xludf.DUMMYFUNCTION("""COMPUTED_VALUE"""),"http://www.macalstr.edu/")</f>
        <v>http://www.macalstr.edu/</v>
      </c>
      <c r="G895" s="2" t="str">
        <f t="shared" ca="1" si="0"/>
        <v>Macalester College</v>
      </c>
      <c r="H895" s="5" t="str">
        <f t="shared" ca="1" si="1"/>
        <v>Macalester College</v>
      </c>
      <c r="I895" s="3" t="str">
        <f t="shared" ca="1" si="2"/>
        <v>'Macalester College',</v>
      </c>
    </row>
    <row r="896" spans="1:9">
      <c r="A896" s="1" t="s">
        <v>894</v>
      </c>
      <c r="B896" s="3" t="str">
        <f ca="1">IFERROR(__xludf.DUMMYFUNCTION("SPLIT(A896,"","")"),"US")</f>
        <v>US</v>
      </c>
      <c r="C896" s="3" t="str">
        <f ca="1">IFERROR(__xludf.DUMMYFUNCTION("""COMPUTED_VALUE"""),"MacMurray College")</f>
        <v>MacMurray College</v>
      </c>
      <c r="D896" s="4" t="str">
        <f ca="1">IFERROR(__xludf.DUMMYFUNCTION("""COMPUTED_VALUE"""),"http://www.mac.edu/")</f>
        <v>http://www.mac.edu/</v>
      </c>
      <c r="G896" s="2" t="str">
        <f t="shared" ca="1" si="0"/>
        <v>MacMurray College</v>
      </c>
      <c r="H896" s="5" t="str">
        <f t="shared" ca="1" si="1"/>
        <v>MacMurray College</v>
      </c>
      <c r="I896" s="3" t="str">
        <f t="shared" ca="1" si="2"/>
        <v>'MacMurray College',</v>
      </c>
    </row>
    <row r="897" spans="1:9">
      <c r="A897" s="1" t="s">
        <v>895</v>
      </c>
      <c r="B897" s="3" t="str">
        <f ca="1">IFERROR(__xludf.DUMMYFUNCTION("SPLIT(A897,"","")"),"US")</f>
        <v>US</v>
      </c>
      <c r="C897" s="3" t="str">
        <f ca="1">IFERROR(__xludf.DUMMYFUNCTION("""COMPUTED_VALUE"""),"Macon State College")</f>
        <v>Macon State College</v>
      </c>
      <c r="D897" s="4" t="str">
        <f ca="1">IFERROR(__xludf.DUMMYFUNCTION("""COMPUTED_VALUE"""),"http://www.maconstate.edu/")</f>
        <v>http://www.maconstate.edu/</v>
      </c>
      <c r="G897" s="2" t="str">
        <f t="shared" ca="1" si="0"/>
        <v>Macon State College</v>
      </c>
      <c r="H897" s="5" t="str">
        <f t="shared" ca="1" si="1"/>
        <v>Macon State College</v>
      </c>
      <c r="I897" s="3" t="str">
        <f t="shared" ca="1" si="2"/>
        <v>'Macon State College',</v>
      </c>
    </row>
    <row r="898" spans="1:9">
      <c r="A898" s="1" t="s">
        <v>896</v>
      </c>
      <c r="B898" s="3" t="str">
        <f ca="1">IFERROR(__xludf.DUMMYFUNCTION("SPLIT(A898,"","")"),"US")</f>
        <v>US</v>
      </c>
      <c r="C898" s="3" t="str">
        <f ca="1">IFERROR(__xludf.DUMMYFUNCTION("""COMPUTED_VALUE"""),"Madison University (Distance Education)")</f>
        <v>Madison University (Distance Education)</v>
      </c>
      <c r="D898" s="4" t="str">
        <f ca="1">IFERROR(__xludf.DUMMYFUNCTION("""COMPUTED_VALUE"""),"http://www.madisonu.com/")</f>
        <v>http://www.madisonu.com/</v>
      </c>
      <c r="G898" s="2" t="str">
        <f t="shared" ca="1" si="0"/>
        <v>Madison University (Distance Education)</v>
      </c>
      <c r="H898" s="5" t="str">
        <f t="shared" ca="1" si="1"/>
        <v>Madison University (Distance Education)</v>
      </c>
      <c r="I898" s="3" t="str">
        <f t="shared" ca="1" si="2"/>
        <v>'Madison University (Distance Education)',</v>
      </c>
    </row>
    <row r="899" spans="1:9">
      <c r="A899" s="1" t="s">
        <v>897</v>
      </c>
      <c r="B899" s="3" t="str">
        <f ca="1">IFERROR(__xludf.DUMMYFUNCTION("SPLIT(A899,"","")"),"US")</f>
        <v>US</v>
      </c>
      <c r="C899" s="3" t="str">
        <f ca="1">IFERROR(__xludf.DUMMYFUNCTION("""COMPUTED_VALUE"""),"Madonna University")</f>
        <v>Madonna University</v>
      </c>
      <c r="D899" s="4" t="str">
        <f ca="1">IFERROR(__xludf.DUMMYFUNCTION("""COMPUTED_VALUE"""),"http://madonna2.siteobjects.com/pages/index.cfm")</f>
        <v>http://madonna2.siteobjects.com/pages/index.cfm</v>
      </c>
      <c r="G899" s="2" t="str">
        <f t="shared" ca="1" si="0"/>
        <v>Madonna University</v>
      </c>
      <c r="H899" s="5" t="str">
        <f t="shared" ca="1" si="1"/>
        <v>Madonna University</v>
      </c>
      <c r="I899" s="3" t="str">
        <f t="shared" ca="1" si="2"/>
        <v>'Madonna University',</v>
      </c>
    </row>
    <row r="900" spans="1:9">
      <c r="A900" s="1" t="s">
        <v>898</v>
      </c>
      <c r="B900" s="3" t="str">
        <f ca="1">IFERROR(__xludf.DUMMYFUNCTION("SPLIT(A900,"","")"),"US")</f>
        <v>US</v>
      </c>
      <c r="C900" s="3" t="str">
        <f ca="1">IFERROR(__xludf.DUMMYFUNCTION("""COMPUTED_VALUE"""),"Maharishi University of Management")</f>
        <v>Maharishi University of Management</v>
      </c>
      <c r="D900" s="4" t="str">
        <f ca="1">IFERROR(__xludf.DUMMYFUNCTION("""COMPUTED_VALUE"""),"http://www.mum.edu/")</f>
        <v>http://www.mum.edu/</v>
      </c>
      <c r="G900" s="2" t="str">
        <f t="shared" ca="1" si="0"/>
        <v>Maharishi University of Management</v>
      </c>
      <c r="H900" s="5" t="str">
        <f t="shared" ca="1" si="1"/>
        <v>Maharishi University of Management</v>
      </c>
      <c r="I900" s="3" t="str">
        <f t="shared" ca="1" si="2"/>
        <v>'Maharishi University of Management',</v>
      </c>
    </row>
    <row r="901" spans="1:9">
      <c r="A901" s="1" t="s">
        <v>899</v>
      </c>
      <c r="B901" s="3" t="str">
        <f ca="1">IFERROR(__xludf.DUMMYFUNCTION("SPLIT(A901,"","")"),"US")</f>
        <v>US</v>
      </c>
      <c r="C901" s="3" t="str">
        <f ca="1">IFERROR(__xludf.DUMMYFUNCTION("""COMPUTED_VALUE"""),"Maine College of Art")</f>
        <v>Maine College of Art</v>
      </c>
      <c r="D901" s="4" t="str">
        <f ca="1">IFERROR(__xludf.DUMMYFUNCTION("""COMPUTED_VALUE"""),"http://www.meca.edu/")</f>
        <v>http://www.meca.edu/</v>
      </c>
      <c r="G901" s="2" t="str">
        <f t="shared" ca="1" si="0"/>
        <v>Maine College of Art</v>
      </c>
      <c r="H901" s="5" t="str">
        <f t="shared" ca="1" si="1"/>
        <v>Maine College of Art</v>
      </c>
      <c r="I901" s="3" t="str">
        <f t="shared" ca="1" si="2"/>
        <v>'Maine College of Art',</v>
      </c>
    </row>
    <row r="902" spans="1:9">
      <c r="A902" s="1" t="s">
        <v>900</v>
      </c>
      <c r="B902" s="3" t="str">
        <f ca="1">IFERROR(__xludf.DUMMYFUNCTION("SPLIT(A902,"","")"),"US")</f>
        <v>US</v>
      </c>
      <c r="C902" s="3" t="str">
        <f ca="1">IFERROR(__xludf.DUMMYFUNCTION("""COMPUTED_VALUE"""),"Maine Maritime Academy")</f>
        <v>Maine Maritime Academy</v>
      </c>
      <c r="D902" s="4" t="str">
        <f ca="1">IFERROR(__xludf.DUMMYFUNCTION("""COMPUTED_VALUE"""),"http://www.mainemaritime.edu/")</f>
        <v>http://www.mainemaritime.edu/</v>
      </c>
      <c r="G902" s="2" t="str">
        <f t="shared" ca="1" si="0"/>
        <v>Maine Maritime Academy</v>
      </c>
      <c r="H902" s="5" t="str">
        <f t="shared" ca="1" si="1"/>
        <v>Maine Maritime Academy</v>
      </c>
      <c r="I902" s="3" t="str">
        <f t="shared" ca="1" si="2"/>
        <v>'Maine Maritime Academy',</v>
      </c>
    </row>
    <row r="903" spans="1:9">
      <c r="A903" s="1" t="s">
        <v>901</v>
      </c>
      <c r="B903" s="3" t="str">
        <f ca="1">IFERROR(__xludf.DUMMYFUNCTION("SPLIT(A903,"","")"),"US")</f>
        <v>US</v>
      </c>
      <c r="C903" s="3" t="str">
        <f ca="1">IFERROR(__xludf.DUMMYFUNCTION("""COMPUTED_VALUE"""),"Malone College")</f>
        <v>Malone College</v>
      </c>
      <c r="D903" s="4" t="str">
        <f ca="1">IFERROR(__xludf.DUMMYFUNCTION("""COMPUTED_VALUE"""),"http://www.malone.edu/")</f>
        <v>http://www.malone.edu/</v>
      </c>
      <c r="G903" s="2" t="str">
        <f t="shared" ca="1" si="0"/>
        <v>Malone College</v>
      </c>
      <c r="H903" s="5" t="str">
        <f t="shared" ca="1" si="1"/>
        <v>Malone College</v>
      </c>
      <c r="I903" s="3" t="str">
        <f t="shared" ca="1" si="2"/>
        <v>'Malone College',</v>
      </c>
    </row>
    <row r="904" spans="1:9">
      <c r="A904" s="1" t="s">
        <v>902</v>
      </c>
      <c r="B904" s="3" t="str">
        <f ca="1">IFERROR(__xludf.DUMMYFUNCTION("SPLIT(A904,"","")"),"US")</f>
        <v>US</v>
      </c>
      <c r="C904" s="3" t="str">
        <f ca="1">IFERROR(__xludf.DUMMYFUNCTION("""COMPUTED_VALUE"""),"Manchester College")</f>
        <v>Manchester College</v>
      </c>
      <c r="D904" s="4" t="str">
        <f ca="1">IFERROR(__xludf.DUMMYFUNCTION("""COMPUTED_VALUE"""),"http://www.manchester.edu/")</f>
        <v>http://www.manchester.edu/</v>
      </c>
      <c r="G904" s="2" t="str">
        <f t="shared" ca="1" si="0"/>
        <v>Manchester College</v>
      </c>
      <c r="H904" s="5" t="str">
        <f t="shared" ca="1" si="1"/>
        <v>Manchester College</v>
      </c>
      <c r="I904" s="3" t="str">
        <f t="shared" ca="1" si="2"/>
        <v>'Manchester College',</v>
      </c>
    </row>
    <row r="905" spans="1:9">
      <c r="A905" s="1" t="s">
        <v>903</v>
      </c>
      <c r="B905" s="3" t="str">
        <f ca="1">IFERROR(__xludf.DUMMYFUNCTION("SPLIT(A905,"","")"),"US")</f>
        <v>US</v>
      </c>
      <c r="C905" s="3" t="str">
        <f ca="1">IFERROR(__xludf.DUMMYFUNCTION("""COMPUTED_VALUE"""),"Manhattan Christian College")</f>
        <v>Manhattan Christian College</v>
      </c>
      <c r="D905" s="4" t="str">
        <f ca="1">IFERROR(__xludf.DUMMYFUNCTION("""COMPUTED_VALUE"""),"http://www.mccks.edu/")</f>
        <v>http://www.mccks.edu/</v>
      </c>
      <c r="G905" s="2" t="str">
        <f t="shared" ca="1" si="0"/>
        <v>Manhattan Christian College</v>
      </c>
      <c r="H905" s="5" t="str">
        <f t="shared" ca="1" si="1"/>
        <v>Manhattan Christian College</v>
      </c>
      <c r="I905" s="3" t="str">
        <f t="shared" ca="1" si="2"/>
        <v>'Manhattan Christian College',</v>
      </c>
    </row>
    <row r="906" spans="1:9">
      <c r="A906" s="1" t="s">
        <v>904</v>
      </c>
      <c r="B906" s="3" t="str">
        <f ca="1">IFERROR(__xludf.DUMMYFUNCTION("SPLIT(A906,"","")"),"US")</f>
        <v>US</v>
      </c>
      <c r="C906" s="3" t="str">
        <f ca="1">IFERROR(__xludf.DUMMYFUNCTION("""COMPUTED_VALUE"""),"Manhattan College")</f>
        <v>Manhattan College</v>
      </c>
      <c r="D906" s="4" t="str">
        <f ca="1">IFERROR(__xludf.DUMMYFUNCTION("""COMPUTED_VALUE"""),"http://www.mancol.edu/")</f>
        <v>http://www.mancol.edu/</v>
      </c>
      <c r="G906" s="2" t="str">
        <f t="shared" ca="1" si="0"/>
        <v>Manhattan College</v>
      </c>
      <c r="H906" s="5" t="str">
        <f t="shared" ca="1" si="1"/>
        <v>Manhattan College</v>
      </c>
      <c r="I906" s="3" t="str">
        <f t="shared" ca="1" si="2"/>
        <v>'Manhattan College',</v>
      </c>
    </row>
    <row r="907" spans="1:9">
      <c r="A907" s="1" t="s">
        <v>905</v>
      </c>
      <c r="B907" s="3" t="str">
        <f ca="1">IFERROR(__xludf.DUMMYFUNCTION("SPLIT(A907,"","")"),"US")</f>
        <v>US</v>
      </c>
      <c r="C907" s="3" t="str">
        <f ca="1">IFERROR(__xludf.DUMMYFUNCTION("""COMPUTED_VALUE"""),"Manhattan School of Music")</f>
        <v>Manhattan School of Music</v>
      </c>
      <c r="D907" s="4" t="str">
        <f ca="1">IFERROR(__xludf.DUMMYFUNCTION("""COMPUTED_VALUE"""),"http://www.msmnyc.edu/")</f>
        <v>http://www.msmnyc.edu/</v>
      </c>
      <c r="G907" s="2" t="str">
        <f t="shared" ca="1" si="0"/>
        <v>Manhattan School of Music</v>
      </c>
      <c r="H907" s="5" t="str">
        <f t="shared" ca="1" si="1"/>
        <v>Manhattan School of Music</v>
      </c>
      <c r="I907" s="3" t="str">
        <f t="shared" ca="1" si="2"/>
        <v>'Manhattan School of Music',</v>
      </c>
    </row>
    <row r="908" spans="1:9">
      <c r="A908" s="1" t="s">
        <v>906</v>
      </c>
      <c r="B908" s="3" t="str">
        <f ca="1">IFERROR(__xludf.DUMMYFUNCTION("SPLIT(A908,"","")"),"US")</f>
        <v>US</v>
      </c>
      <c r="C908" s="3" t="str">
        <f ca="1">IFERROR(__xludf.DUMMYFUNCTION("""COMPUTED_VALUE"""),"Manhattanville College")</f>
        <v>Manhattanville College</v>
      </c>
      <c r="D908" s="4" t="str">
        <f ca="1">IFERROR(__xludf.DUMMYFUNCTION("""COMPUTED_VALUE"""),"http://www.mville.edu/")</f>
        <v>http://www.mville.edu/</v>
      </c>
      <c r="G908" s="2" t="str">
        <f t="shared" ca="1" si="0"/>
        <v>Manhattanville College</v>
      </c>
      <c r="H908" s="5" t="str">
        <f t="shared" ca="1" si="1"/>
        <v>Manhattanville College</v>
      </c>
      <c r="I908" s="3" t="str">
        <f t="shared" ca="1" si="2"/>
        <v>'Manhattanville College',</v>
      </c>
    </row>
    <row r="909" spans="1:9">
      <c r="A909" s="1" t="s">
        <v>907</v>
      </c>
      <c r="B909" s="3" t="str">
        <f ca="1">IFERROR(__xludf.DUMMYFUNCTION("SPLIT(A909,"","")"),"US")</f>
        <v>US</v>
      </c>
      <c r="C909" s="3" t="str">
        <f ca="1">IFERROR(__xludf.DUMMYFUNCTION("""COMPUTED_VALUE"""),"Mankato State University")</f>
        <v>Mankato State University</v>
      </c>
      <c r="D909" s="4" t="str">
        <f ca="1">IFERROR(__xludf.DUMMYFUNCTION("""COMPUTED_VALUE"""),"http://www.mankato.msus.edu/")</f>
        <v>http://www.mankato.msus.edu/</v>
      </c>
      <c r="G909" s="2" t="str">
        <f t="shared" ca="1" si="0"/>
        <v>Mankato State University</v>
      </c>
      <c r="H909" s="5" t="str">
        <f t="shared" ca="1" si="1"/>
        <v>Mankato State University</v>
      </c>
      <c r="I909" s="3" t="str">
        <f t="shared" ca="1" si="2"/>
        <v>'Mankato State University',</v>
      </c>
    </row>
    <row r="910" spans="1:9">
      <c r="A910" s="1" t="s">
        <v>908</v>
      </c>
      <c r="B910" s="3" t="str">
        <f ca="1">IFERROR(__xludf.DUMMYFUNCTION("SPLIT(A910,"","")"),"US")</f>
        <v>US</v>
      </c>
      <c r="C910" s="3" t="str">
        <f ca="1">IFERROR(__xludf.DUMMYFUNCTION("""COMPUTED_VALUE"""),"Mansfield University of Pennsylvania")</f>
        <v>Mansfield University of Pennsylvania</v>
      </c>
      <c r="D910" s="4" t="str">
        <f ca="1">IFERROR(__xludf.DUMMYFUNCTION("""COMPUTED_VALUE"""),"http://www.mnsfld.edu/")</f>
        <v>http://www.mnsfld.edu/</v>
      </c>
      <c r="G910" s="2" t="str">
        <f t="shared" ca="1" si="0"/>
        <v>Mansfield University of Pennsylvania</v>
      </c>
      <c r="H910" s="5" t="str">
        <f t="shared" ca="1" si="1"/>
        <v>Mansfield University of Pennsylvania</v>
      </c>
      <c r="I910" s="3" t="str">
        <f t="shared" ca="1" si="2"/>
        <v>'Mansfield University of Pennsylvania',</v>
      </c>
    </row>
    <row r="911" spans="1:9">
      <c r="A911" s="1" t="s">
        <v>909</v>
      </c>
      <c r="B911" s="3" t="str">
        <f ca="1">IFERROR(__xludf.DUMMYFUNCTION("SPLIT(A911,"","")"),"US")</f>
        <v>US</v>
      </c>
      <c r="C911" s="3" t="str">
        <f ca="1">IFERROR(__xludf.DUMMYFUNCTION("""COMPUTED_VALUE"""),"Maranatha Baptist Bible College")</f>
        <v>Maranatha Baptist Bible College</v>
      </c>
      <c r="D911" s="4" t="str">
        <f ca="1">IFERROR(__xludf.DUMMYFUNCTION("""COMPUTED_VALUE"""),"http://www.mbbc.edu/")</f>
        <v>http://www.mbbc.edu/</v>
      </c>
      <c r="G911" s="2" t="str">
        <f t="shared" ca="1" si="0"/>
        <v>Maranatha Baptist Bible College</v>
      </c>
      <c r="H911" s="5" t="str">
        <f t="shared" ca="1" si="1"/>
        <v>Maranatha Baptist Bible College</v>
      </c>
      <c r="I911" s="3" t="str">
        <f t="shared" ca="1" si="2"/>
        <v>'Maranatha Baptist Bible College',</v>
      </c>
    </row>
    <row r="912" spans="1:9">
      <c r="A912" s="1" t="s">
        <v>910</v>
      </c>
      <c r="B912" s="3" t="str">
        <f ca="1">IFERROR(__xludf.DUMMYFUNCTION("SPLIT(A912,"","")"),"US")</f>
        <v>US</v>
      </c>
      <c r="C912" s="3" t="str">
        <f ca="1">IFERROR(__xludf.DUMMYFUNCTION("""COMPUTED_VALUE"""),"Marian College")</f>
        <v>Marian College</v>
      </c>
      <c r="D912" s="4" t="str">
        <f ca="1">IFERROR(__xludf.DUMMYFUNCTION("""COMPUTED_VALUE"""),"http://www.marian.edu/")</f>
        <v>http://www.marian.edu/</v>
      </c>
      <c r="G912" s="2" t="str">
        <f t="shared" ca="1" si="0"/>
        <v>Marian College</v>
      </c>
      <c r="H912" s="5" t="str">
        <f t="shared" ca="1" si="1"/>
        <v>Marian College</v>
      </c>
      <c r="I912" s="3" t="str">
        <f t="shared" ca="1" si="2"/>
        <v>'Marian College',</v>
      </c>
    </row>
    <row r="913" spans="1:9">
      <c r="A913" s="1" t="s">
        <v>911</v>
      </c>
      <c r="B913" s="3" t="str">
        <f ca="1">IFERROR(__xludf.DUMMYFUNCTION("SPLIT(A913,"","")"),"US")</f>
        <v>US</v>
      </c>
      <c r="C913" s="3" t="str">
        <f ca="1">IFERROR(__xludf.DUMMYFUNCTION("""COMPUTED_VALUE"""),"Marian College of Fond Du Lac")</f>
        <v>Marian College of Fond Du Lac</v>
      </c>
      <c r="D913" s="4" t="str">
        <f ca="1">IFERROR(__xludf.DUMMYFUNCTION("""COMPUTED_VALUE"""),"http://www.mariancoll.edu/")</f>
        <v>http://www.mariancoll.edu/</v>
      </c>
      <c r="G913" s="2" t="str">
        <f t="shared" ca="1" si="0"/>
        <v>Marian College of Fond Du Lac</v>
      </c>
      <c r="H913" s="5" t="str">
        <f t="shared" ca="1" si="1"/>
        <v>Marian College of Fond Du Lac</v>
      </c>
      <c r="I913" s="3" t="str">
        <f t="shared" ca="1" si="2"/>
        <v>'Marian College of Fond Du Lac',</v>
      </c>
    </row>
    <row r="914" spans="1:9">
      <c r="A914" s="1" t="s">
        <v>912</v>
      </c>
      <c r="B914" s="3" t="str">
        <f ca="1">IFERROR(__xludf.DUMMYFUNCTION("SPLIT(A914,"","")"),"US")</f>
        <v>US</v>
      </c>
      <c r="C914" s="3" t="str">
        <f ca="1">IFERROR(__xludf.DUMMYFUNCTION("""COMPUTED_VALUE"""),"Marietta College")</f>
        <v>Marietta College</v>
      </c>
      <c r="D914" s="4" t="str">
        <f ca="1">IFERROR(__xludf.DUMMYFUNCTION("""COMPUTED_VALUE"""),"http://www.marietta.edu/")</f>
        <v>http://www.marietta.edu/</v>
      </c>
      <c r="G914" s="2" t="str">
        <f t="shared" ca="1" si="0"/>
        <v>Marietta College</v>
      </c>
      <c r="H914" s="5" t="str">
        <f t="shared" ca="1" si="1"/>
        <v>Marietta College</v>
      </c>
      <c r="I914" s="3" t="str">
        <f t="shared" ca="1" si="2"/>
        <v>'Marietta College',</v>
      </c>
    </row>
    <row r="915" spans="1:9">
      <c r="A915" s="1" t="s">
        <v>913</v>
      </c>
      <c r="B915" s="3" t="str">
        <f ca="1">IFERROR(__xludf.DUMMYFUNCTION("SPLIT(A915,"","")"),"US")</f>
        <v>US</v>
      </c>
      <c r="C915" s="3" t="str">
        <f ca="1">IFERROR(__xludf.DUMMYFUNCTION("""COMPUTED_VALUE"""),"Marist College")</f>
        <v>Marist College</v>
      </c>
      <c r="D915" s="4" t="str">
        <f ca="1">IFERROR(__xludf.DUMMYFUNCTION("""COMPUTED_VALUE"""),"http://www.marist.edu/")</f>
        <v>http://www.marist.edu/</v>
      </c>
      <c r="G915" s="2" t="str">
        <f t="shared" ca="1" si="0"/>
        <v>Marist College</v>
      </c>
      <c r="H915" s="5" t="str">
        <f t="shared" ca="1" si="1"/>
        <v>Marist College</v>
      </c>
      <c r="I915" s="3" t="str">
        <f t="shared" ca="1" si="2"/>
        <v>'Marist College',</v>
      </c>
    </row>
    <row r="916" spans="1:9">
      <c r="A916" s="1" t="s">
        <v>914</v>
      </c>
      <c r="B916" s="3" t="str">
        <f ca="1">IFERROR(__xludf.DUMMYFUNCTION("SPLIT(A916,"","")"),"US")</f>
        <v>US</v>
      </c>
      <c r="C916" s="3" t="str">
        <f ca="1">IFERROR(__xludf.DUMMYFUNCTION("""COMPUTED_VALUE"""),"Marlboro College")</f>
        <v>Marlboro College</v>
      </c>
      <c r="D916" s="4" t="str">
        <f ca="1">IFERROR(__xludf.DUMMYFUNCTION("""COMPUTED_VALUE"""),"http://www.marlboro.edu/")</f>
        <v>http://www.marlboro.edu/</v>
      </c>
      <c r="G916" s="2" t="str">
        <f t="shared" ca="1" si="0"/>
        <v>Marlboro College</v>
      </c>
      <c r="H916" s="5" t="str">
        <f t="shared" ca="1" si="1"/>
        <v>Marlboro College</v>
      </c>
      <c r="I916" s="3" t="str">
        <f t="shared" ca="1" si="2"/>
        <v>'Marlboro College',</v>
      </c>
    </row>
    <row r="917" spans="1:9">
      <c r="A917" s="1" t="s">
        <v>915</v>
      </c>
      <c r="B917" s="3" t="str">
        <f ca="1">IFERROR(__xludf.DUMMYFUNCTION("SPLIT(A917,"","")"),"US")</f>
        <v>US</v>
      </c>
      <c r="C917" s="3" t="str">
        <f ca="1">IFERROR(__xludf.DUMMYFUNCTION("""COMPUTED_VALUE"""),"Marquette University")</f>
        <v>Marquette University</v>
      </c>
      <c r="D917" s="4" t="str">
        <f ca="1">IFERROR(__xludf.DUMMYFUNCTION("""COMPUTED_VALUE"""),"http://www.mu.edu/")</f>
        <v>http://www.mu.edu/</v>
      </c>
      <c r="G917" s="2" t="str">
        <f t="shared" ca="1" si="0"/>
        <v>Marquette University</v>
      </c>
      <c r="H917" s="5" t="str">
        <f t="shared" ca="1" si="1"/>
        <v>Marquette University</v>
      </c>
      <c r="I917" s="3" t="str">
        <f t="shared" ca="1" si="2"/>
        <v>'Marquette University',</v>
      </c>
    </row>
    <row r="918" spans="1:9">
      <c r="A918" s="1" t="s">
        <v>916</v>
      </c>
      <c r="B918" s="3" t="str">
        <f ca="1">IFERROR(__xludf.DUMMYFUNCTION("SPLIT(A918,"","")"),"US")</f>
        <v>US</v>
      </c>
      <c r="C918" s="3" t="str">
        <f ca="1">IFERROR(__xludf.DUMMYFUNCTION("""COMPUTED_VALUE"""),"Marshall University")</f>
        <v>Marshall University</v>
      </c>
      <c r="D918" s="4" t="str">
        <f ca="1">IFERROR(__xludf.DUMMYFUNCTION("""COMPUTED_VALUE"""),"http://www.marshall.edu/")</f>
        <v>http://www.marshall.edu/</v>
      </c>
      <c r="G918" s="2" t="str">
        <f t="shared" ca="1" si="0"/>
        <v>Marshall University</v>
      </c>
      <c r="H918" s="5" t="str">
        <f t="shared" ca="1" si="1"/>
        <v>Marshall University</v>
      </c>
      <c r="I918" s="3" t="str">
        <f t="shared" ca="1" si="2"/>
        <v>'Marshall University',</v>
      </c>
    </row>
    <row r="919" spans="1:9">
      <c r="A919" s="1" t="s">
        <v>917</v>
      </c>
      <c r="B919" s="3" t="str">
        <f ca="1">IFERROR(__xludf.DUMMYFUNCTION("SPLIT(A919,"","")"),"US")</f>
        <v>US</v>
      </c>
      <c r="C919" s="3" t="str">
        <f ca="1">IFERROR(__xludf.DUMMYFUNCTION("""COMPUTED_VALUE"""),"Mars Hill College")</f>
        <v>Mars Hill College</v>
      </c>
      <c r="D919" s="4" t="str">
        <f ca="1">IFERROR(__xludf.DUMMYFUNCTION("""COMPUTED_VALUE"""),"http://www.mhc.edu/")</f>
        <v>http://www.mhc.edu/</v>
      </c>
      <c r="G919" s="2" t="str">
        <f t="shared" ca="1" si="0"/>
        <v>Mars Hill College</v>
      </c>
      <c r="H919" s="5" t="str">
        <f t="shared" ca="1" si="1"/>
        <v>Mars Hill College</v>
      </c>
      <c r="I919" s="3" t="str">
        <f t="shared" ca="1" si="2"/>
        <v>'Mars Hill College',</v>
      </c>
    </row>
    <row r="920" spans="1:9">
      <c r="A920" s="1" t="s">
        <v>918</v>
      </c>
      <c r="B920" s="3" t="str">
        <f ca="1">IFERROR(__xludf.DUMMYFUNCTION("SPLIT(A920,"","")"),"US")</f>
        <v>US</v>
      </c>
      <c r="C920" s="3" t="str">
        <f ca="1">IFERROR(__xludf.DUMMYFUNCTION("""COMPUTED_VALUE"""),"Martin Luther College")</f>
        <v>Martin Luther College</v>
      </c>
      <c r="D920" s="4" t="str">
        <f ca="1">IFERROR(__xludf.DUMMYFUNCTION("""COMPUTED_VALUE"""),"http://www.mlc-wels.edu/")</f>
        <v>http://www.mlc-wels.edu/</v>
      </c>
      <c r="G920" s="2" t="str">
        <f t="shared" ca="1" si="0"/>
        <v>Martin Luther College</v>
      </c>
      <c r="H920" s="5" t="str">
        <f t="shared" ca="1" si="1"/>
        <v>Martin Luther College</v>
      </c>
      <c r="I920" s="3" t="str">
        <f t="shared" ca="1" si="2"/>
        <v>'Martin Luther College',</v>
      </c>
    </row>
    <row r="921" spans="1:9">
      <c r="A921" s="1" t="s">
        <v>919</v>
      </c>
      <c r="B921" s="3" t="str">
        <f ca="1">IFERROR(__xludf.DUMMYFUNCTION("SPLIT(A921,"","")"),"US")</f>
        <v>US</v>
      </c>
      <c r="C921" s="3" t="str">
        <f ca="1">IFERROR(__xludf.DUMMYFUNCTION("""COMPUTED_VALUE"""),"Martin Methodist College")</f>
        <v>Martin Methodist College</v>
      </c>
      <c r="D921" s="4" t="str">
        <f ca="1">IFERROR(__xludf.DUMMYFUNCTION("""COMPUTED_VALUE"""),"http://www.martinmethodist.edu/")</f>
        <v>http://www.martinmethodist.edu/</v>
      </c>
      <c r="G921" s="2" t="str">
        <f t="shared" ca="1" si="0"/>
        <v>Martin Methodist College</v>
      </c>
      <c r="H921" s="5" t="str">
        <f t="shared" ca="1" si="1"/>
        <v>Martin Methodist College</v>
      </c>
      <c r="I921" s="3" t="str">
        <f t="shared" ca="1" si="2"/>
        <v>'Martin Methodist College',</v>
      </c>
    </row>
    <row r="922" spans="1:9">
      <c r="A922" s="1" t="s">
        <v>920</v>
      </c>
      <c r="B922" s="3" t="str">
        <f ca="1">IFERROR(__xludf.DUMMYFUNCTION("SPLIT(A922,"","")"),"US")</f>
        <v>US</v>
      </c>
      <c r="C922" s="3" t="str">
        <f ca="1">IFERROR(__xludf.DUMMYFUNCTION("""COMPUTED_VALUE"""),"Martin University")</f>
        <v>Martin University</v>
      </c>
      <c r="D922" s="4" t="str">
        <f ca="1">IFERROR(__xludf.DUMMYFUNCTION("""COMPUTED_VALUE"""),"http://www.martin.edu/")</f>
        <v>http://www.martin.edu/</v>
      </c>
      <c r="G922" s="2" t="str">
        <f t="shared" ca="1" si="0"/>
        <v>Martin University</v>
      </c>
      <c r="H922" s="5" t="str">
        <f t="shared" ca="1" si="1"/>
        <v>Martin University</v>
      </c>
      <c r="I922" s="3" t="str">
        <f t="shared" ca="1" si="2"/>
        <v>'Martin University',</v>
      </c>
    </row>
    <row r="923" spans="1:9">
      <c r="A923" s="1" t="s">
        <v>921</v>
      </c>
      <c r="B923" s="3" t="str">
        <f ca="1">IFERROR(__xludf.DUMMYFUNCTION("SPLIT(A923,"","")"),"US")</f>
        <v>US</v>
      </c>
      <c r="C923" s="3" t="str">
        <f ca="1">IFERROR(__xludf.DUMMYFUNCTION("""COMPUTED_VALUE"""),"Mary Baldwin College")</f>
        <v>Mary Baldwin College</v>
      </c>
      <c r="D923" s="4" t="str">
        <f ca="1">IFERROR(__xludf.DUMMYFUNCTION("""COMPUTED_VALUE"""),"http://www.mbc.edu/")</f>
        <v>http://www.mbc.edu/</v>
      </c>
      <c r="G923" s="2" t="str">
        <f t="shared" ca="1" si="0"/>
        <v>Mary Baldwin College</v>
      </c>
      <c r="H923" s="5" t="str">
        <f t="shared" ca="1" si="1"/>
        <v>Mary Baldwin College</v>
      </c>
      <c r="I923" s="3" t="str">
        <f t="shared" ca="1" si="2"/>
        <v>'Mary Baldwin College',</v>
      </c>
    </row>
    <row r="924" spans="1:9">
      <c r="A924" s="1" t="s">
        <v>922</v>
      </c>
      <c r="B924" s="3" t="str">
        <f ca="1">IFERROR(__xludf.DUMMYFUNCTION("SPLIT(A924,"","")"),"US")</f>
        <v>US</v>
      </c>
      <c r="C924" s="3" t="str">
        <f ca="1">IFERROR(__xludf.DUMMYFUNCTION("""COMPUTED_VALUE"""),"Marycrest International University")</f>
        <v>Marycrest International University</v>
      </c>
      <c r="D924" s="4" t="str">
        <f ca="1">IFERROR(__xludf.DUMMYFUNCTION("""COMPUTED_VALUE"""),"http://www.mcrest.edu/")</f>
        <v>http://www.mcrest.edu/</v>
      </c>
      <c r="G924" s="2" t="str">
        <f t="shared" ca="1" si="0"/>
        <v>Marycrest International University</v>
      </c>
      <c r="H924" s="5" t="str">
        <f t="shared" ca="1" si="1"/>
        <v>Marycrest International University</v>
      </c>
      <c r="I924" s="3" t="str">
        <f t="shared" ca="1" si="2"/>
        <v>'Marycrest International University',</v>
      </c>
    </row>
    <row r="925" spans="1:9">
      <c r="A925" s="1" t="s">
        <v>923</v>
      </c>
      <c r="B925" s="3" t="str">
        <f ca="1">IFERROR(__xludf.DUMMYFUNCTION("SPLIT(A925,"","")"),"US")</f>
        <v>US</v>
      </c>
      <c r="C925" s="3" t="str">
        <f ca="1">IFERROR(__xludf.DUMMYFUNCTION("""COMPUTED_VALUE"""),"Marygrove College")</f>
        <v>Marygrove College</v>
      </c>
      <c r="D925" s="4" t="str">
        <f ca="1">IFERROR(__xludf.DUMMYFUNCTION("""COMPUTED_VALUE"""),"http://www.marygrove.edu/")</f>
        <v>http://www.marygrove.edu/</v>
      </c>
      <c r="G925" s="2" t="str">
        <f t="shared" ca="1" si="0"/>
        <v>Marygrove College</v>
      </c>
      <c r="H925" s="5" t="str">
        <f t="shared" ca="1" si="1"/>
        <v>Marygrove College</v>
      </c>
      <c r="I925" s="3" t="str">
        <f t="shared" ca="1" si="2"/>
        <v>'Marygrove College',</v>
      </c>
    </row>
    <row r="926" spans="1:9">
      <c r="A926" s="1" t="s">
        <v>924</v>
      </c>
      <c r="B926" s="3" t="str">
        <f ca="1">IFERROR(__xludf.DUMMYFUNCTION("SPLIT(A926,"","")"),"US")</f>
        <v>US</v>
      </c>
      <c r="C926" s="3" t="str">
        <f ca="1">IFERROR(__xludf.DUMMYFUNCTION("""COMPUTED_VALUE"""),"Marylhurst University")</f>
        <v>Marylhurst University</v>
      </c>
      <c r="D926" s="4" t="str">
        <f ca="1">IFERROR(__xludf.DUMMYFUNCTION("""COMPUTED_VALUE"""),"http://www.marylhurst.edu/")</f>
        <v>http://www.marylhurst.edu/</v>
      </c>
      <c r="G926" s="2" t="str">
        <f t="shared" ca="1" si="0"/>
        <v>Marylhurst University</v>
      </c>
      <c r="H926" s="5" t="str">
        <f t="shared" ca="1" si="1"/>
        <v>Marylhurst University</v>
      </c>
      <c r="I926" s="3" t="str">
        <f t="shared" ca="1" si="2"/>
        <v>'Marylhurst University',</v>
      </c>
    </row>
    <row r="927" spans="1:9">
      <c r="A927" s="1" t="s">
        <v>925</v>
      </c>
      <c r="B927" s="3" t="str">
        <f ca="1">IFERROR(__xludf.DUMMYFUNCTION("SPLIT(A927,"","")"),"US")</f>
        <v>US</v>
      </c>
      <c r="C927" s="3" t="str">
        <f ca="1">IFERROR(__xludf.DUMMYFUNCTION("""COMPUTED_VALUE"""),"Marymount College New York")</f>
        <v>Marymount College New York</v>
      </c>
      <c r="D927" s="4" t="str">
        <f ca="1">IFERROR(__xludf.DUMMYFUNCTION("""COMPUTED_VALUE"""),"http://www.marymt.edu/")</f>
        <v>http://www.marymt.edu/</v>
      </c>
      <c r="G927" s="2" t="str">
        <f t="shared" ca="1" si="0"/>
        <v>Marymount College New York</v>
      </c>
      <c r="H927" s="5" t="str">
        <f t="shared" ca="1" si="1"/>
        <v>Marymount College New York</v>
      </c>
      <c r="I927" s="3" t="str">
        <f t="shared" ca="1" si="2"/>
        <v>'Marymount College New York',</v>
      </c>
    </row>
    <row r="928" spans="1:9">
      <c r="A928" s="1" t="s">
        <v>926</v>
      </c>
      <c r="B928" s="3" t="str">
        <f ca="1">IFERROR(__xludf.DUMMYFUNCTION("SPLIT(A928,"","")"),"US")</f>
        <v>US</v>
      </c>
      <c r="C928" s="3" t="str">
        <f ca="1">IFERROR(__xludf.DUMMYFUNCTION("""COMPUTED_VALUE"""),"Marymount Manhattan College")</f>
        <v>Marymount Manhattan College</v>
      </c>
      <c r="D928" s="4" t="str">
        <f ca="1">IFERROR(__xludf.DUMMYFUNCTION("""COMPUTED_VALUE"""),"http://marymount.mmm.edu/")</f>
        <v>http://marymount.mmm.edu/</v>
      </c>
      <c r="G928" s="2" t="str">
        <f t="shared" ca="1" si="0"/>
        <v>Marymount Manhattan College</v>
      </c>
      <c r="H928" s="5" t="str">
        <f t="shared" ca="1" si="1"/>
        <v>Marymount Manhattan College</v>
      </c>
      <c r="I928" s="3" t="str">
        <f t="shared" ca="1" si="2"/>
        <v>'Marymount Manhattan College',</v>
      </c>
    </row>
    <row r="929" spans="1:9">
      <c r="A929" s="1" t="s">
        <v>927</v>
      </c>
      <c r="B929" s="3" t="str">
        <f ca="1">IFERROR(__xludf.DUMMYFUNCTION("SPLIT(A929,"","")"),"US")</f>
        <v>US</v>
      </c>
      <c r="C929" s="3" t="str">
        <f ca="1">IFERROR(__xludf.DUMMYFUNCTION("""COMPUTED_VALUE"""),"Marymount University")</f>
        <v>Marymount University</v>
      </c>
      <c r="D929" s="4" t="str">
        <f ca="1">IFERROR(__xludf.DUMMYFUNCTION("""COMPUTED_VALUE"""),"http://www.marymount.edu/")</f>
        <v>http://www.marymount.edu/</v>
      </c>
      <c r="G929" s="2" t="str">
        <f t="shared" ca="1" si="0"/>
        <v>Marymount University</v>
      </c>
      <c r="H929" s="5" t="str">
        <f t="shared" ca="1" si="1"/>
        <v>Marymount University</v>
      </c>
      <c r="I929" s="3" t="str">
        <f t="shared" ca="1" si="2"/>
        <v>'Marymount University',</v>
      </c>
    </row>
    <row r="930" spans="1:9">
      <c r="A930" s="1" t="s">
        <v>928</v>
      </c>
      <c r="B930" s="3" t="str">
        <f ca="1">IFERROR(__xludf.DUMMYFUNCTION("SPLIT(A930,"","")"),"US")</f>
        <v>US</v>
      </c>
      <c r="C930" s="3" t="str">
        <f ca="1">IFERROR(__xludf.DUMMYFUNCTION("""COMPUTED_VALUE"""),"Maryville College")</f>
        <v>Maryville College</v>
      </c>
      <c r="D930" s="4" t="str">
        <f ca="1">IFERROR(__xludf.DUMMYFUNCTION("""COMPUTED_VALUE"""),"http://www.maryvillecollege.edu/")</f>
        <v>http://www.maryvillecollege.edu/</v>
      </c>
      <c r="G930" s="2" t="str">
        <f t="shared" ca="1" si="0"/>
        <v>Maryville College</v>
      </c>
      <c r="H930" s="5" t="str">
        <f t="shared" ca="1" si="1"/>
        <v>Maryville College</v>
      </c>
      <c r="I930" s="3" t="str">
        <f t="shared" ca="1" si="2"/>
        <v>'Maryville College',</v>
      </c>
    </row>
    <row r="931" spans="1:9">
      <c r="A931" s="1" t="s">
        <v>929</v>
      </c>
      <c r="B931" s="3" t="str">
        <f ca="1">IFERROR(__xludf.DUMMYFUNCTION("SPLIT(A931,"","")"),"US")</f>
        <v>US</v>
      </c>
      <c r="C931" s="3" t="str">
        <f ca="1">IFERROR(__xludf.DUMMYFUNCTION("""COMPUTED_VALUE"""),"Maryville University of St. Louis")</f>
        <v>Maryville University of St. Louis</v>
      </c>
      <c r="D931" s="4" t="str">
        <f ca="1">IFERROR(__xludf.DUMMYFUNCTION("""COMPUTED_VALUE"""),"http://www.maryvillestl.edu/")</f>
        <v>http://www.maryvillestl.edu/</v>
      </c>
      <c r="G931" s="2" t="str">
        <f t="shared" ca="1" si="0"/>
        <v>Maryville University of St. Louis</v>
      </c>
      <c r="H931" s="5" t="str">
        <f t="shared" ca="1" si="1"/>
        <v>Maryville University of St. Louis</v>
      </c>
      <c r="I931" s="3" t="str">
        <f t="shared" ca="1" si="2"/>
        <v>'Maryville University of St. Louis',</v>
      </c>
    </row>
    <row r="932" spans="1:9">
      <c r="A932" s="1" t="s">
        <v>930</v>
      </c>
      <c r="B932" s="3" t="str">
        <f ca="1">IFERROR(__xludf.DUMMYFUNCTION("SPLIT(A932,"","")"),"US")</f>
        <v>US</v>
      </c>
      <c r="C932" s="3" t="str">
        <f ca="1">IFERROR(__xludf.DUMMYFUNCTION("""COMPUTED_VALUE"""),"Mary Washington College")</f>
        <v>Mary Washington College</v>
      </c>
      <c r="D932" s="4" t="str">
        <f ca="1">IFERROR(__xludf.DUMMYFUNCTION("""COMPUTED_VALUE"""),"http://www.mwc.edu/")</f>
        <v>http://www.mwc.edu/</v>
      </c>
      <c r="G932" s="2" t="str">
        <f t="shared" ca="1" si="0"/>
        <v>Mary Washington College</v>
      </c>
      <c r="H932" s="5" t="str">
        <f t="shared" ca="1" si="1"/>
        <v>Mary Washington College</v>
      </c>
      <c r="I932" s="3" t="str">
        <f t="shared" ca="1" si="2"/>
        <v>'Mary Washington College',</v>
      </c>
    </row>
    <row r="933" spans="1:9">
      <c r="A933" s="1" t="s">
        <v>931</v>
      </c>
      <c r="B933" s="3" t="str">
        <f ca="1">IFERROR(__xludf.DUMMYFUNCTION("SPLIT(A933,"","")"),"US")</f>
        <v>US</v>
      </c>
      <c r="C933" s="3" t="str">
        <f ca="1">IFERROR(__xludf.DUMMYFUNCTION("""COMPUTED_VALUE"""),"Marywood University")</f>
        <v>Marywood University</v>
      </c>
      <c r="D933" s="4" t="str">
        <f ca="1">IFERROR(__xludf.DUMMYFUNCTION("""COMPUTED_VALUE"""),"http://www.marywood.edu/")</f>
        <v>http://www.marywood.edu/</v>
      </c>
      <c r="G933" s="2" t="str">
        <f t="shared" ca="1" si="0"/>
        <v>Marywood University</v>
      </c>
      <c r="H933" s="5" t="str">
        <f t="shared" ca="1" si="1"/>
        <v>Marywood University</v>
      </c>
      <c r="I933" s="3" t="str">
        <f t="shared" ca="1" si="2"/>
        <v>'Marywood University',</v>
      </c>
    </row>
    <row r="934" spans="1:9">
      <c r="A934" s="1" t="s">
        <v>932</v>
      </c>
      <c r="B934" s="3" t="str">
        <f ca="1">IFERROR(__xludf.DUMMYFUNCTION("SPLIT(A934,"","")"),"US")</f>
        <v>US</v>
      </c>
      <c r="C934" s="3" t="str">
        <f ca="1">IFERROR(__xludf.DUMMYFUNCTION("""COMPUTED_VALUE"""),"Massachusetts College of Art")</f>
        <v>Massachusetts College of Art</v>
      </c>
      <c r="D934" s="4" t="str">
        <f ca="1">IFERROR(__xludf.DUMMYFUNCTION("""COMPUTED_VALUE"""),"http://www.massart.edu/")</f>
        <v>http://www.massart.edu/</v>
      </c>
      <c r="G934" s="2" t="str">
        <f t="shared" ca="1" si="0"/>
        <v>Massachusetts College of Art</v>
      </c>
      <c r="H934" s="5" t="str">
        <f t="shared" ca="1" si="1"/>
        <v>Massachusetts College of Art</v>
      </c>
      <c r="I934" s="3" t="str">
        <f t="shared" ca="1" si="2"/>
        <v>'Massachusetts College of Art',</v>
      </c>
    </row>
    <row r="935" spans="1:9">
      <c r="A935" s="1" t="s">
        <v>933</v>
      </c>
      <c r="B935" s="3" t="str">
        <f ca="1">IFERROR(__xludf.DUMMYFUNCTION("SPLIT(A935,"","")"),"US")</f>
        <v>US</v>
      </c>
      <c r="C935" s="3" t="str">
        <f ca="1">IFERROR(__xludf.DUMMYFUNCTION("""COMPUTED_VALUE"""),"Massachusetts College of Liberal Arts")</f>
        <v>Massachusetts College of Liberal Arts</v>
      </c>
      <c r="D935" s="4" t="str">
        <f ca="1">IFERROR(__xludf.DUMMYFUNCTION("""COMPUTED_VALUE"""),"http://www.mcla.mass.edu/")</f>
        <v>http://www.mcla.mass.edu/</v>
      </c>
      <c r="G935" s="2" t="str">
        <f t="shared" ca="1" si="0"/>
        <v>Massachusetts College of Liberal Arts</v>
      </c>
      <c r="H935" s="5" t="str">
        <f t="shared" ca="1" si="1"/>
        <v>Massachusetts College of Liberal Arts</v>
      </c>
      <c r="I935" s="3" t="str">
        <f t="shared" ca="1" si="2"/>
        <v>'Massachusetts College of Liberal Arts',</v>
      </c>
    </row>
    <row r="936" spans="1:9">
      <c r="A936" s="1" t="s">
        <v>934</v>
      </c>
      <c r="B936" s="3" t="str">
        <f ca="1">IFERROR(__xludf.DUMMYFUNCTION("SPLIT(A936,"","")"),"US")</f>
        <v>US</v>
      </c>
      <c r="C936" s="3" t="str">
        <f ca="1">IFERROR(__xludf.DUMMYFUNCTION("""COMPUTED_VALUE"""),"Massachusetts College of Pharmacy and Allied Health Sciences")</f>
        <v>Massachusetts College of Pharmacy and Allied Health Sciences</v>
      </c>
      <c r="D936" s="4" t="str">
        <f ca="1">IFERROR(__xludf.DUMMYFUNCTION("""COMPUTED_VALUE"""),"http://www.mcp.edu/")</f>
        <v>http://www.mcp.edu/</v>
      </c>
      <c r="G936" s="2" t="str">
        <f t="shared" ca="1" si="0"/>
        <v>Massachusetts College of Pharmacy and Allied Health Sciences</v>
      </c>
      <c r="H936" s="5" t="str">
        <f t="shared" ca="1" si="1"/>
        <v>Massachusetts College of Pharmacy and Allied Health Sciences</v>
      </c>
      <c r="I936" s="3" t="str">
        <f t="shared" ca="1" si="2"/>
        <v>'Massachusetts College of Pharmacy and Allied Health Sciences',</v>
      </c>
    </row>
    <row r="937" spans="1:9">
      <c r="A937" s="1" t="s">
        <v>935</v>
      </c>
      <c r="B937" s="3" t="str">
        <f ca="1">IFERROR(__xludf.DUMMYFUNCTION("SPLIT(A937,"","")"),"US")</f>
        <v>US</v>
      </c>
      <c r="C937" s="3" t="str">
        <f ca="1">IFERROR(__xludf.DUMMYFUNCTION("""COMPUTED_VALUE"""),"Massachusetts Institute of Technology")</f>
        <v>Massachusetts Institute of Technology</v>
      </c>
      <c r="D937" s="4" t="str">
        <f ca="1">IFERROR(__xludf.DUMMYFUNCTION("""COMPUTED_VALUE"""),"http://www.mit.edu/")</f>
        <v>http://www.mit.edu/</v>
      </c>
      <c r="G937" s="2" t="str">
        <f t="shared" ca="1" si="0"/>
        <v>Massachusetts Institute of Technology</v>
      </c>
      <c r="H937" s="5" t="str">
        <f t="shared" ca="1" si="1"/>
        <v>Massachusetts Institute of Technology</v>
      </c>
      <c r="I937" s="3" t="str">
        <f t="shared" ca="1" si="2"/>
        <v>'Massachusetts Institute of Technology',</v>
      </c>
    </row>
    <row r="938" spans="1:9">
      <c r="A938" s="1" t="s">
        <v>936</v>
      </c>
      <c r="B938" s="3" t="str">
        <f ca="1">IFERROR(__xludf.DUMMYFUNCTION("SPLIT(A938,"","")"),"US")</f>
        <v>US</v>
      </c>
      <c r="C938" s="3" t="str">
        <f ca="1">IFERROR(__xludf.DUMMYFUNCTION("""COMPUTED_VALUE"""),"Massachusetts Maritime Academy")</f>
        <v>Massachusetts Maritime Academy</v>
      </c>
      <c r="D938" s="4" t="str">
        <f ca="1">IFERROR(__xludf.DUMMYFUNCTION("""COMPUTED_VALUE"""),"http://www.mma.mass.edu/")</f>
        <v>http://www.mma.mass.edu/</v>
      </c>
      <c r="G938" s="2" t="str">
        <f t="shared" ca="1" si="0"/>
        <v>Massachusetts Maritime Academy</v>
      </c>
      <c r="H938" s="5" t="str">
        <f t="shared" ca="1" si="1"/>
        <v>Massachusetts Maritime Academy</v>
      </c>
      <c r="I938" s="3" t="str">
        <f t="shared" ca="1" si="2"/>
        <v>'Massachusetts Maritime Academy',</v>
      </c>
    </row>
    <row r="939" spans="1:9">
      <c r="A939" s="1" t="s">
        <v>937</v>
      </c>
      <c r="B939" s="3" t="str">
        <f ca="1">IFERROR(__xludf.DUMMYFUNCTION("SPLIT(A939,"","")"),"US")</f>
        <v>US</v>
      </c>
      <c r="C939" s="3" t="str">
        <f ca="1">IFERROR(__xludf.DUMMYFUNCTION("""COMPUTED_VALUE"""),"Massachusetts School of Professional Psychology")</f>
        <v>Massachusetts School of Professional Psychology</v>
      </c>
      <c r="D939" s="4" t="str">
        <f ca="1">IFERROR(__xludf.DUMMYFUNCTION("""COMPUTED_VALUE"""),"http://www.mspp.edu/")</f>
        <v>http://www.mspp.edu/</v>
      </c>
      <c r="G939" s="2" t="str">
        <f t="shared" ca="1" si="0"/>
        <v>Massachusetts School of Professional Psychology</v>
      </c>
      <c r="H939" s="5" t="str">
        <f t="shared" ca="1" si="1"/>
        <v>Massachusetts School of Professional Psychology</v>
      </c>
      <c r="I939" s="3" t="str">
        <f t="shared" ca="1" si="2"/>
        <v>'Massachusetts School of Professional Psychology',</v>
      </c>
    </row>
    <row r="940" spans="1:9">
      <c r="A940" s="1" t="s">
        <v>938</v>
      </c>
      <c r="B940" s="3" t="str">
        <f ca="1">IFERROR(__xludf.DUMMYFUNCTION("SPLIT(A940,"","")"),"US")</f>
        <v>US</v>
      </c>
      <c r="C940" s="3" t="str">
        <f ca="1">IFERROR(__xludf.DUMMYFUNCTION("""COMPUTED_VALUE"""),"Mayo Graduate School")</f>
        <v>Mayo Graduate School</v>
      </c>
      <c r="D940" s="4" t="str">
        <f ca="1">IFERROR(__xludf.DUMMYFUNCTION("""COMPUTED_VALUE"""),"http://www.mayo.edu/mgs/gs.html")</f>
        <v>http://www.mayo.edu/mgs/gs.html</v>
      </c>
      <c r="G940" s="2" t="str">
        <f t="shared" ca="1" si="0"/>
        <v>Mayo Graduate School</v>
      </c>
      <c r="H940" s="5" t="str">
        <f t="shared" ca="1" si="1"/>
        <v>Mayo Graduate School</v>
      </c>
      <c r="I940" s="3" t="str">
        <f t="shared" ca="1" si="2"/>
        <v>'Mayo Graduate School',</v>
      </c>
    </row>
    <row r="941" spans="1:9">
      <c r="A941" s="1" t="s">
        <v>939</v>
      </c>
      <c r="B941" s="3" t="str">
        <f ca="1">IFERROR(__xludf.DUMMYFUNCTION("SPLIT(A941,"","")"),"US")</f>
        <v>US</v>
      </c>
      <c r="C941" s="3" t="str">
        <f ca="1">IFERROR(__xludf.DUMMYFUNCTION("""COMPUTED_VALUE"""),"Mayo Medical School")</f>
        <v>Mayo Medical School</v>
      </c>
      <c r="D941" s="4" t="str">
        <f ca="1">IFERROR(__xludf.DUMMYFUNCTION("""COMPUTED_VALUE"""),"http://www.mayo.edu/education/mms/")</f>
        <v>http://www.mayo.edu/education/mms/</v>
      </c>
      <c r="G941" s="2" t="str">
        <f t="shared" ca="1" si="0"/>
        <v>Mayo Medical School</v>
      </c>
      <c r="H941" s="5" t="str">
        <f t="shared" ca="1" si="1"/>
        <v>Mayo Medical School</v>
      </c>
      <c r="I941" s="3" t="str">
        <f t="shared" ca="1" si="2"/>
        <v>'Mayo Medical School',</v>
      </c>
    </row>
    <row r="942" spans="1:9">
      <c r="A942" s="1" t="s">
        <v>940</v>
      </c>
      <c r="B942" s="3" t="str">
        <f ca="1">IFERROR(__xludf.DUMMYFUNCTION("SPLIT(A942,"","")"),"US")</f>
        <v>US</v>
      </c>
      <c r="C942" s="3" t="str">
        <f ca="1">IFERROR(__xludf.DUMMYFUNCTION("""COMPUTED_VALUE"""),"Mayville State University")</f>
        <v>Mayville State University</v>
      </c>
      <c r="D942" s="4" t="str">
        <f ca="1">IFERROR(__xludf.DUMMYFUNCTION("""COMPUTED_VALUE"""),"http://www.masu.nodak.edu/")</f>
        <v>http://www.masu.nodak.edu/</v>
      </c>
      <c r="G942" s="2" t="str">
        <f t="shared" ca="1" si="0"/>
        <v>Mayville State University</v>
      </c>
      <c r="H942" s="5" t="str">
        <f t="shared" ca="1" si="1"/>
        <v>Mayville State University</v>
      </c>
      <c r="I942" s="3" t="str">
        <f t="shared" ca="1" si="2"/>
        <v>'Mayville State University',</v>
      </c>
    </row>
    <row r="943" spans="1:9">
      <c r="A943" s="1" t="s">
        <v>941</v>
      </c>
      <c r="B943" s="3" t="str">
        <f ca="1">IFERROR(__xludf.DUMMYFUNCTION("SPLIT(A943,"","")"),"US")</f>
        <v>US</v>
      </c>
      <c r="C943" s="3" t="str">
        <f ca="1">IFERROR(__xludf.DUMMYFUNCTION("""COMPUTED_VALUE"""),"McKendree College")</f>
        <v>McKendree College</v>
      </c>
      <c r="D943" s="4" t="str">
        <f ca="1">IFERROR(__xludf.DUMMYFUNCTION("""COMPUTED_VALUE"""),"http://www.mckendree.edu/")</f>
        <v>http://www.mckendree.edu/</v>
      </c>
      <c r="G943" s="2" t="str">
        <f t="shared" ca="1" si="0"/>
        <v>McKendree College</v>
      </c>
      <c r="H943" s="5" t="str">
        <f t="shared" ca="1" si="1"/>
        <v>McKendree College</v>
      </c>
      <c r="I943" s="3" t="str">
        <f t="shared" ca="1" si="2"/>
        <v>'McKendree College',</v>
      </c>
    </row>
    <row r="944" spans="1:9">
      <c r="A944" s="1" t="s">
        <v>942</v>
      </c>
      <c r="B944" s="3" t="str">
        <f ca="1">IFERROR(__xludf.DUMMYFUNCTION("SPLIT(A944,"","")"),"US")</f>
        <v>US</v>
      </c>
      <c r="C944" s="3" t="str">
        <f ca="1">IFERROR(__xludf.DUMMYFUNCTION("""COMPUTED_VALUE"""),"McMurry University")</f>
        <v>McMurry University</v>
      </c>
      <c r="D944" s="4" t="str">
        <f ca="1">IFERROR(__xludf.DUMMYFUNCTION("""COMPUTED_VALUE"""),"http://www.mcm.edu/")</f>
        <v>http://www.mcm.edu/</v>
      </c>
      <c r="G944" s="2" t="str">
        <f t="shared" ca="1" si="0"/>
        <v>McMurry University</v>
      </c>
      <c r="H944" s="5" t="str">
        <f t="shared" ca="1" si="1"/>
        <v>McMurry University</v>
      </c>
      <c r="I944" s="3" t="str">
        <f t="shared" ca="1" si="2"/>
        <v>'McMurry University',</v>
      </c>
    </row>
    <row r="945" spans="1:9">
      <c r="A945" s="1" t="s">
        <v>943</v>
      </c>
      <c r="B945" s="3" t="str">
        <f ca="1">IFERROR(__xludf.DUMMYFUNCTION("SPLIT(A945,"","")"),"US")</f>
        <v>US</v>
      </c>
      <c r="C945" s="3" t="str">
        <f ca="1">IFERROR(__xludf.DUMMYFUNCTION("""COMPUTED_VALUE"""),"McNeese State University")</f>
        <v>McNeese State University</v>
      </c>
      <c r="D945" s="4" t="str">
        <f ca="1">IFERROR(__xludf.DUMMYFUNCTION("""COMPUTED_VALUE"""),"http://www.mcneese.edu/")</f>
        <v>http://www.mcneese.edu/</v>
      </c>
      <c r="G945" s="2" t="str">
        <f t="shared" ca="1" si="0"/>
        <v>McNeese State University</v>
      </c>
      <c r="H945" s="5" t="str">
        <f t="shared" ca="1" si="1"/>
        <v>McNeese State University</v>
      </c>
      <c r="I945" s="3" t="str">
        <f t="shared" ca="1" si="2"/>
        <v>'McNeese State University',</v>
      </c>
    </row>
    <row r="946" spans="1:9">
      <c r="A946" s="1" t="s">
        <v>944</v>
      </c>
      <c r="B946" s="3" t="str">
        <f ca="1">IFERROR(__xludf.DUMMYFUNCTION("SPLIT(A946,"","")"),"US")</f>
        <v>US</v>
      </c>
      <c r="C946" s="3" t="str">
        <f ca="1">IFERROR(__xludf.DUMMYFUNCTION("""COMPUTED_VALUE"""),"McPherson College")</f>
        <v>McPherson College</v>
      </c>
      <c r="D946" s="4" t="str">
        <f ca="1">IFERROR(__xludf.DUMMYFUNCTION("""COMPUTED_VALUE"""),"http://www.mcpherson.edu/")</f>
        <v>http://www.mcpherson.edu/</v>
      </c>
      <c r="G946" s="2" t="str">
        <f t="shared" ca="1" si="0"/>
        <v>McPherson College</v>
      </c>
      <c r="H946" s="5" t="str">
        <f t="shared" ca="1" si="1"/>
        <v>McPherson College</v>
      </c>
      <c r="I946" s="3" t="str">
        <f t="shared" ca="1" si="2"/>
        <v>'McPherson College',</v>
      </c>
    </row>
    <row r="947" spans="1:9">
      <c r="A947" s="1" t="s">
        <v>945</v>
      </c>
      <c r="B947" s="3" t="str">
        <f ca="1">IFERROR(__xludf.DUMMYFUNCTION("SPLIT(A947,"","")"),"US")</f>
        <v>US</v>
      </c>
      <c r="C947" s="3" t="str">
        <f ca="1">IFERROR(__xludf.DUMMYFUNCTION("""COMPUTED_VALUE"""),"Medaille College")</f>
        <v>Medaille College</v>
      </c>
      <c r="D947" s="4" t="str">
        <f ca="1">IFERROR(__xludf.DUMMYFUNCTION("""COMPUTED_VALUE"""),"http://www.medaille.edu/")</f>
        <v>http://www.medaille.edu/</v>
      </c>
      <c r="G947" s="2" t="str">
        <f t="shared" ca="1" si="0"/>
        <v>Medaille College</v>
      </c>
      <c r="H947" s="5" t="str">
        <f t="shared" ca="1" si="1"/>
        <v>Medaille College</v>
      </c>
      <c r="I947" s="3" t="str">
        <f t="shared" ca="1" si="2"/>
        <v>'Medaille College',</v>
      </c>
    </row>
    <row r="948" spans="1:9">
      <c r="A948" s="1" t="s">
        <v>946</v>
      </c>
      <c r="B948" s="3" t="str">
        <f ca="1">IFERROR(__xludf.DUMMYFUNCTION("SPLIT(A948,"","")"),"US")</f>
        <v>US</v>
      </c>
      <c r="C948" s="3" t="str">
        <f ca="1">IFERROR(__xludf.DUMMYFUNCTION("""COMPUTED_VALUE"""),"Medcenter One College of Nursing")</f>
        <v>Medcenter One College of Nursing</v>
      </c>
      <c r="D948" s="4" t="str">
        <f ca="1">IFERROR(__xludf.DUMMYFUNCTION("""COMPUTED_VALUE"""),"http://www.medcenterone.com/nursing/nursing.htm")</f>
        <v>http://www.medcenterone.com/nursing/nursing.htm</v>
      </c>
      <c r="G948" s="2" t="str">
        <f t="shared" ca="1" si="0"/>
        <v>Medcenter One College of Nursing</v>
      </c>
      <c r="H948" s="5" t="str">
        <f t="shared" ca="1" si="1"/>
        <v>Medcenter One College of Nursing</v>
      </c>
      <c r="I948" s="3" t="str">
        <f t="shared" ca="1" si="2"/>
        <v>'Medcenter One College of Nursing',</v>
      </c>
    </row>
    <row r="949" spans="1:9">
      <c r="A949" s="1" t="s">
        <v>947</v>
      </c>
      <c r="B949" s="3" t="str">
        <f ca="1">IFERROR(__xludf.DUMMYFUNCTION("SPLIT(A949,"","")"),"US")</f>
        <v>US</v>
      </c>
      <c r="C949" s="3" t="str">
        <f ca="1">IFERROR(__xludf.DUMMYFUNCTION("""COMPUTED_VALUE"""),"Medical College of Georgia")</f>
        <v>Medical College of Georgia</v>
      </c>
      <c r="D949" s="4" t="str">
        <f ca="1">IFERROR(__xludf.DUMMYFUNCTION("""COMPUTED_VALUE"""),"http://www.mcg.edu/")</f>
        <v>http://www.mcg.edu/</v>
      </c>
      <c r="G949" s="2" t="str">
        <f t="shared" ca="1" si="0"/>
        <v>Medical College of Georgia</v>
      </c>
      <c r="H949" s="5" t="str">
        <f t="shared" ca="1" si="1"/>
        <v>Medical College of Georgia</v>
      </c>
      <c r="I949" s="3" t="str">
        <f t="shared" ca="1" si="2"/>
        <v>'Medical College of Georgia',</v>
      </c>
    </row>
    <row r="950" spans="1:9">
      <c r="A950" s="1" t="s">
        <v>948</v>
      </c>
      <c r="B950" s="3" t="str">
        <f ca="1">IFERROR(__xludf.DUMMYFUNCTION("SPLIT(A950,"","")"),"US")</f>
        <v>US</v>
      </c>
      <c r="C950" s="3" t="str">
        <f ca="1">IFERROR(__xludf.DUMMYFUNCTION("""COMPUTED_VALUE"""),"Medical College of Ohio")</f>
        <v>Medical College of Ohio</v>
      </c>
      <c r="D950" s="4" t="str">
        <f ca="1">IFERROR(__xludf.DUMMYFUNCTION("""COMPUTED_VALUE"""),"http://www.mco.edu/")</f>
        <v>http://www.mco.edu/</v>
      </c>
      <c r="G950" s="2" t="str">
        <f t="shared" ca="1" si="0"/>
        <v>Medical College of Ohio</v>
      </c>
      <c r="H950" s="5" t="str">
        <f t="shared" ca="1" si="1"/>
        <v>Medical College of Ohio</v>
      </c>
      <c r="I950" s="3" t="str">
        <f t="shared" ca="1" si="2"/>
        <v>'Medical College of Ohio',</v>
      </c>
    </row>
    <row r="951" spans="1:9">
      <c r="A951" s="1" t="s">
        <v>949</v>
      </c>
      <c r="B951" s="3" t="str">
        <f ca="1">IFERROR(__xludf.DUMMYFUNCTION("SPLIT(A951,"","")"),"US")</f>
        <v>US</v>
      </c>
      <c r="C951" s="3" t="str">
        <f ca="1">IFERROR(__xludf.DUMMYFUNCTION("""COMPUTED_VALUE"""),"Medical College of Pennsylvania and Hahnemann University")</f>
        <v>Medical College of Pennsylvania and Hahnemann University</v>
      </c>
      <c r="D951" s="4" t="str">
        <f ca="1">IFERROR(__xludf.DUMMYFUNCTION("""COMPUTED_VALUE"""),"http://www.mcphu.edu/")</f>
        <v>http://www.mcphu.edu/</v>
      </c>
      <c r="G951" s="2" t="str">
        <f t="shared" ca="1" si="0"/>
        <v>Medical College of Pennsylvania and Hahnemann University</v>
      </c>
      <c r="H951" s="5" t="str">
        <f t="shared" ca="1" si="1"/>
        <v>Medical College of Pennsylvania and Hahnemann University</v>
      </c>
      <c r="I951" s="3" t="str">
        <f t="shared" ca="1" si="2"/>
        <v>'Medical College of Pennsylvania and Hahnemann University',</v>
      </c>
    </row>
    <row r="952" spans="1:9">
      <c r="A952" s="1" t="s">
        <v>950</v>
      </c>
      <c r="B952" s="3" t="str">
        <f ca="1">IFERROR(__xludf.DUMMYFUNCTION("SPLIT(A952,"","")"),"US")</f>
        <v>US</v>
      </c>
      <c r="C952" s="3" t="str">
        <f ca="1">IFERROR(__xludf.DUMMYFUNCTION("""COMPUTED_VALUE"""),"Medical College of Wisconsin")</f>
        <v>Medical College of Wisconsin</v>
      </c>
      <c r="D952" s="4" t="str">
        <f ca="1">IFERROR(__xludf.DUMMYFUNCTION("""COMPUTED_VALUE"""),"http://www.mcw.edu/")</f>
        <v>http://www.mcw.edu/</v>
      </c>
      <c r="G952" s="2" t="str">
        <f t="shared" ca="1" si="0"/>
        <v>Medical College of Wisconsin</v>
      </c>
      <c r="H952" s="5" t="str">
        <f t="shared" ca="1" si="1"/>
        <v>Medical College of Wisconsin</v>
      </c>
      <c r="I952" s="3" t="str">
        <f t="shared" ca="1" si="2"/>
        <v>'Medical College of Wisconsin',</v>
      </c>
    </row>
    <row r="953" spans="1:9">
      <c r="A953" s="1" t="s">
        <v>951</v>
      </c>
      <c r="B953" s="3" t="str">
        <f ca="1">IFERROR(__xludf.DUMMYFUNCTION("SPLIT(A953,"","")"),"US")</f>
        <v>US</v>
      </c>
      <c r="C953" s="3" t="str">
        <f ca="1">IFERROR(__xludf.DUMMYFUNCTION("""COMPUTED_VALUE"""),"Medical University of South Carolina")</f>
        <v>Medical University of South Carolina</v>
      </c>
      <c r="D953" s="4" t="str">
        <f ca="1">IFERROR(__xludf.DUMMYFUNCTION("""COMPUTED_VALUE"""),"http://www.musc.edu/")</f>
        <v>http://www.musc.edu/</v>
      </c>
      <c r="G953" s="2" t="str">
        <f t="shared" ca="1" si="0"/>
        <v>Medical University of South Carolina</v>
      </c>
      <c r="H953" s="5" t="str">
        <f t="shared" ca="1" si="1"/>
        <v>Medical University of South Carolina</v>
      </c>
      <c r="I953" s="3" t="str">
        <f t="shared" ca="1" si="2"/>
        <v>'Medical University of South Carolina',</v>
      </c>
    </row>
    <row r="954" spans="1:9">
      <c r="A954" s="1" t="s">
        <v>952</v>
      </c>
      <c r="B954" s="3" t="str">
        <f ca="1">IFERROR(__xludf.DUMMYFUNCTION("SPLIT(A954,"","")"),"US")</f>
        <v>US</v>
      </c>
      <c r="C954" s="3" t="str">
        <f ca="1">IFERROR(__xludf.DUMMYFUNCTION("""COMPUTED_VALUE"""),"Meharry Medical College")</f>
        <v>Meharry Medical College</v>
      </c>
      <c r="D954" s="4" t="str">
        <f ca="1">IFERROR(__xludf.DUMMYFUNCTION("""COMPUTED_VALUE"""),"http://www.mmc.edu/")</f>
        <v>http://www.mmc.edu/</v>
      </c>
      <c r="G954" s="2" t="str">
        <f t="shared" ca="1" si="0"/>
        <v>Meharry Medical College</v>
      </c>
      <c r="H954" s="5" t="str">
        <f t="shared" ca="1" si="1"/>
        <v>Meharry Medical College</v>
      </c>
      <c r="I954" s="3" t="str">
        <f t="shared" ca="1" si="2"/>
        <v>'Meharry Medical College',</v>
      </c>
    </row>
    <row r="955" spans="1:9">
      <c r="A955" s="1" t="s">
        <v>953</v>
      </c>
      <c r="B955" s="3" t="str">
        <f ca="1">IFERROR(__xludf.DUMMYFUNCTION("SPLIT(A955,"","")"),"US")</f>
        <v>US</v>
      </c>
      <c r="C955" s="3" t="str">
        <f ca="1">IFERROR(__xludf.DUMMYFUNCTION("""COMPUTED_VALUE"""),"Memphis College of Art")</f>
        <v>Memphis College of Art</v>
      </c>
      <c r="D955" s="4" t="str">
        <f ca="1">IFERROR(__xludf.DUMMYFUNCTION("""COMPUTED_VALUE"""),"http://www.mca.edu/")</f>
        <v>http://www.mca.edu/</v>
      </c>
      <c r="G955" s="2" t="str">
        <f t="shared" ca="1" si="0"/>
        <v>Memphis College of Art</v>
      </c>
      <c r="H955" s="5" t="str">
        <f t="shared" ca="1" si="1"/>
        <v>Memphis College of Art</v>
      </c>
      <c r="I955" s="3" t="str">
        <f t="shared" ca="1" si="2"/>
        <v>'Memphis College of Art',</v>
      </c>
    </row>
    <row r="956" spans="1:9">
      <c r="A956" s="1" t="s">
        <v>954</v>
      </c>
      <c r="B956" s="3" t="str">
        <f ca="1">IFERROR(__xludf.DUMMYFUNCTION("SPLIT(A956,"","")"),"US")</f>
        <v>US</v>
      </c>
      <c r="C956" s="3" t="str">
        <f ca="1">IFERROR(__xludf.DUMMYFUNCTION("""COMPUTED_VALUE"""),"Menlo College")</f>
        <v>Menlo College</v>
      </c>
      <c r="D956" s="4" t="str">
        <f ca="1">IFERROR(__xludf.DUMMYFUNCTION("""COMPUTED_VALUE"""),"http://www.menlo.edu/")</f>
        <v>http://www.menlo.edu/</v>
      </c>
      <c r="G956" s="2" t="str">
        <f t="shared" ca="1" si="0"/>
        <v>Menlo College</v>
      </c>
      <c r="H956" s="5" t="str">
        <f t="shared" ca="1" si="1"/>
        <v>Menlo College</v>
      </c>
      <c r="I956" s="3" t="str">
        <f t="shared" ca="1" si="2"/>
        <v>'Menlo College',</v>
      </c>
    </row>
    <row r="957" spans="1:9">
      <c r="A957" s="1" t="s">
        <v>955</v>
      </c>
      <c r="B957" s="3" t="str">
        <f ca="1">IFERROR(__xludf.DUMMYFUNCTION("SPLIT(A957,"","")"),"US")</f>
        <v>US</v>
      </c>
      <c r="C957" s="3" t="str">
        <f ca="1">IFERROR(__xludf.DUMMYFUNCTION("""COMPUTED_VALUE"""),"Mennonite College of Nursing")</f>
        <v>Mennonite College of Nursing</v>
      </c>
      <c r="D957" s="4" t="str">
        <f ca="1">IFERROR(__xludf.DUMMYFUNCTION("""COMPUTED_VALUE"""),"http://www.mcn.ilstu.edu/")</f>
        <v>http://www.mcn.ilstu.edu/</v>
      </c>
      <c r="G957" s="2" t="str">
        <f t="shared" ca="1" si="0"/>
        <v>Mennonite College of Nursing</v>
      </c>
      <c r="H957" s="5" t="str">
        <f t="shared" ca="1" si="1"/>
        <v>Mennonite College of Nursing</v>
      </c>
      <c r="I957" s="3" t="str">
        <f t="shared" ca="1" si="2"/>
        <v>'Mennonite College of Nursing',</v>
      </c>
    </row>
    <row r="958" spans="1:9">
      <c r="A958" s="1" t="s">
        <v>956</v>
      </c>
      <c r="B958" s="3" t="str">
        <f ca="1">IFERROR(__xludf.DUMMYFUNCTION("SPLIT(A958,"","")"),"US")</f>
        <v>US</v>
      </c>
      <c r="C958" s="3" t="str">
        <f ca="1">IFERROR(__xludf.DUMMYFUNCTION("""COMPUTED_VALUE"""),"Mercer University")</f>
        <v>Mercer University</v>
      </c>
      <c r="D958" s="4" t="str">
        <f ca="1">IFERROR(__xludf.DUMMYFUNCTION("""COMPUTED_VALUE"""),"http://www.mercer.edu/")</f>
        <v>http://www.mercer.edu/</v>
      </c>
      <c r="G958" s="2" t="str">
        <f t="shared" ca="1" si="0"/>
        <v>Mercer University</v>
      </c>
      <c r="H958" s="5" t="str">
        <f t="shared" ca="1" si="1"/>
        <v>Mercer University</v>
      </c>
      <c r="I958" s="3" t="str">
        <f t="shared" ca="1" si="2"/>
        <v>'Mercer University',</v>
      </c>
    </row>
    <row r="959" spans="1:9">
      <c r="A959" s="1" t="s">
        <v>957</v>
      </c>
      <c r="B959" s="3" t="str">
        <f ca="1">IFERROR(__xludf.DUMMYFUNCTION("SPLIT(A959,"","")"),"US")</f>
        <v>US</v>
      </c>
      <c r="C959" s="3" t="str">
        <f ca="1">IFERROR(__xludf.DUMMYFUNCTION("""COMPUTED_VALUE"""),"""Mercer University")</f>
        <v>"Mercer University</v>
      </c>
      <c r="D959" s="3" t="str">
        <f ca="1">IFERROR(__xludf.DUMMYFUNCTION("""COMPUTED_VALUE""")," Cecil B. Day Campus""")</f>
        <v xml:space="preserve"> Cecil B. Day Campus"</v>
      </c>
      <c r="E959" s="4" t="str">
        <f ca="1">IFERROR(__xludf.DUMMYFUNCTION("""COMPUTED_VALUE"""),"http://www.mercer.edu/cbd/")</f>
        <v>http://www.mercer.edu/cbd/</v>
      </c>
      <c r="G959" s="2" t="str">
        <f t="shared" ca="1" si="0"/>
        <v>"Mercer University</v>
      </c>
      <c r="H959" s="5" t="str">
        <f t="shared" ca="1" si="1"/>
        <v>Mercer University</v>
      </c>
      <c r="I959" s="3" t="str">
        <f t="shared" ca="1" si="2"/>
        <v>'Mercer University',</v>
      </c>
    </row>
    <row r="960" spans="1:9">
      <c r="A960" s="1" t="s">
        <v>958</v>
      </c>
      <c r="B960" s="3" t="str">
        <f ca="1">IFERROR(__xludf.DUMMYFUNCTION("SPLIT(A960,"","")"),"US")</f>
        <v>US</v>
      </c>
      <c r="C960" s="3" t="str">
        <f ca="1">IFERROR(__xludf.DUMMYFUNCTION("""COMPUTED_VALUE"""),"Mercy College")</f>
        <v>Mercy College</v>
      </c>
      <c r="D960" s="4" t="str">
        <f ca="1">IFERROR(__xludf.DUMMYFUNCTION("""COMPUTED_VALUE"""),"http://www.mercynet.edu/")</f>
        <v>http://www.mercynet.edu/</v>
      </c>
      <c r="G960" s="2" t="str">
        <f t="shared" ca="1" si="0"/>
        <v>Mercy College</v>
      </c>
      <c r="H960" s="5" t="str">
        <f t="shared" ca="1" si="1"/>
        <v>Mercy College</v>
      </c>
      <c r="I960" s="3" t="str">
        <f t="shared" ca="1" si="2"/>
        <v>'Mercy College',</v>
      </c>
    </row>
    <row r="961" spans="1:9">
      <c r="A961" s="1" t="s">
        <v>959</v>
      </c>
      <c r="B961" s="3" t="str">
        <f ca="1">IFERROR(__xludf.DUMMYFUNCTION("SPLIT(A961,"","")"),"US")</f>
        <v>US</v>
      </c>
      <c r="C961" s="3" t="str">
        <f ca="1">IFERROR(__xludf.DUMMYFUNCTION("""COMPUTED_VALUE"""),"Mercyhurst College")</f>
        <v>Mercyhurst College</v>
      </c>
      <c r="D961" s="4" t="str">
        <f ca="1">IFERROR(__xludf.DUMMYFUNCTION("""COMPUTED_VALUE"""),"http://www.mercyhurst.edu/")</f>
        <v>http://www.mercyhurst.edu/</v>
      </c>
      <c r="G961" s="2" t="str">
        <f t="shared" ca="1" si="0"/>
        <v>Mercyhurst College</v>
      </c>
      <c r="H961" s="5" t="str">
        <f t="shared" ca="1" si="1"/>
        <v>Mercyhurst College</v>
      </c>
      <c r="I961" s="3" t="str">
        <f t="shared" ca="1" si="2"/>
        <v>'Mercyhurst College',</v>
      </c>
    </row>
    <row r="962" spans="1:9">
      <c r="A962" s="1" t="s">
        <v>960</v>
      </c>
      <c r="B962" s="3" t="str">
        <f ca="1">IFERROR(__xludf.DUMMYFUNCTION("SPLIT(A962,"","")"),"US")</f>
        <v>US</v>
      </c>
      <c r="C962" s="3" t="str">
        <f ca="1">IFERROR(__xludf.DUMMYFUNCTION("""COMPUTED_VALUE"""),"Meredith College")</f>
        <v>Meredith College</v>
      </c>
      <c r="D962" s="4" t="str">
        <f ca="1">IFERROR(__xludf.DUMMYFUNCTION("""COMPUTED_VALUE"""),"http://www.meredith.edu/")</f>
        <v>http://www.meredith.edu/</v>
      </c>
      <c r="G962" s="2" t="str">
        <f t="shared" ca="1" si="0"/>
        <v>Meredith College</v>
      </c>
      <c r="H962" s="5" t="str">
        <f t="shared" ca="1" si="1"/>
        <v>Meredith College</v>
      </c>
      <c r="I962" s="3" t="str">
        <f t="shared" ca="1" si="2"/>
        <v>'Meredith College',</v>
      </c>
    </row>
    <row r="963" spans="1:9">
      <c r="A963" s="1" t="s">
        <v>961</v>
      </c>
      <c r="B963" s="3" t="str">
        <f ca="1">IFERROR(__xludf.DUMMYFUNCTION("SPLIT(A963,"","")"),"US")</f>
        <v>US</v>
      </c>
      <c r="C963" s="3" t="str">
        <f ca="1">IFERROR(__xludf.DUMMYFUNCTION("""COMPUTED_VALUE"""),"Merrimack College")</f>
        <v>Merrimack College</v>
      </c>
      <c r="D963" s="4" t="str">
        <f ca="1">IFERROR(__xludf.DUMMYFUNCTION("""COMPUTED_VALUE"""),"http://www.merrimack.edu/")</f>
        <v>http://www.merrimack.edu/</v>
      </c>
      <c r="G963" s="2" t="str">
        <f t="shared" ca="1" si="0"/>
        <v>Merrimack College</v>
      </c>
      <c r="H963" s="5" t="str">
        <f t="shared" ca="1" si="1"/>
        <v>Merrimack College</v>
      </c>
      <c r="I963" s="3" t="str">
        <f t="shared" ca="1" si="2"/>
        <v>'Merrimack College',</v>
      </c>
    </row>
    <row r="964" spans="1:9">
      <c r="A964" s="1" t="s">
        <v>962</v>
      </c>
      <c r="B964" s="3" t="str">
        <f ca="1">IFERROR(__xludf.DUMMYFUNCTION("SPLIT(A964,"","")"),"US")</f>
        <v>US</v>
      </c>
      <c r="C964" s="3" t="str">
        <f ca="1">IFERROR(__xludf.DUMMYFUNCTION("""COMPUTED_VALUE"""),"Mesa State College")</f>
        <v>Mesa State College</v>
      </c>
      <c r="D964" s="4" t="str">
        <f ca="1">IFERROR(__xludf.DUMMYFUNCTION("""COMPUTED_VALUE"""),"http://www.mesastate.edu/")</f>
        <v>http://www.mesastate.edu/</v>
      </c>
      <c r="G964" s="2" t="str">
        <f t="shared" ca="1" si="0"/>
        <v>Mesa State College</v>
      </c>
      <c r="H964" s="5" t="str">
        <f t="shared" ca="1" si="1"/>
        <v>Mesa State College</v>
      </c>
      <c r="I964" s="3" t="str">
        <f t="shared" ca="1" si="2"/>
        <v>'Mesa State College',</v>
      </c>
    </row>
    <row r="965" spans="1:9">
      <c r="A965" s="1" t="s">
        <v>963</v>
      </c>
      <c r="B965" s="3" t="str">
        <f ca="1">IFERROR(__xludf.DUMMYFUNCTION("SPLIT(A965,"","")"),"US")</f>
        <v>US</v>
      </c>
      <c r="C965" s="3" t="str">
        <f ca="1">IFERROR(__xludf.DUMMYFUNCTION("""COMPUTED_VALUE"""),"Messiah College")</f>
        <v>Messiah College</v>
      </c>
      <c r="D965" s="4" t="str">
        <f ca="1">IFERROR(__xludf.DUMMYFUNCTION("""COMPUTED_VALUE"""),"http://www.messiah.edu/")</f>
        <v>http://www.messiah.edu/</v>
      </c>
      <c r="G965" s="2" t="str">
        <f t="shared" ca="1" si="0"/>
        <v>Messiah College</v>
      </c>
      <c r="H965" s="5" t="str">
        <f t="shared" ca="1" si="1"/>
        <v>Messiah College</v>
      </c>
      <c r="I965" s="3" t="str">
        <f t="shared" ca="1" si="2"/>
        <v>'Messiah College',</v>
      </c>
    </row>
    <row r="966" spans="1:9">
      <c r="A966" s="1" t="s">
        <v>964</v>
      </c>
      <c r="B966" s="3" t="str">
        <f ca="1">IFERROR(__xludf.DUMMYFUNCTION("SPLIT(A966,"","")"),"US")</f>
        <v>US</v>
      </c>
      <c r="C966" s="3" t="str">
        <f ca="1">IFERROR(__xludf.DUMMYFUNCTION("""COMPUTED_VALUE"""),"Methodist College")</f>
        <v>Methodist College</v>
      </c>
      <c r="D966" s="4" t="str">
        <f ca="1">IFERROR(__xludf.DUMMYFUNCTION("""COMPUTED_VALUE"""),"http://www.methodist.edu/")</f>
        <v>http://www.methodist.edu/</v>
      </c>
      <c r="G966" s="2" t="str">
        <f t="shared" ca="1" si="0"/>
        <v>Methodist College</v>
      </c>
      <c r="H966" s="5" t="str">
        <f t="shared" ca="1" si="1"/>
        <v>Methodist College</v>
      </c>
      <c r="I966" s="3" t="str">
        <f t="shared" ca="1" si="2"/>
        <v>'Methodist College',</v>
      </c>
    </row>
    <row r="967" spans="1:9">
      <c r="A967" s="1" t="s">
        <v>965</v>
      </c>
      <c r="B967" s="3" t="str">
        <f ca="1">IFERROR(__xludf.DUMMYFUNCTION("SPLIT(A967,"","")"),"US")</f>
        <v>US</v>
      </c>
      <c r="C967" s="3" t="str">
        <f ca="1">IFERROR(__xludf.DUMMYFUNCTION("""COMPUTED_VALUE"""),"Metropolitan State College of Denver")</f>
        <v>Metropolitan State College of Denver</v>
      </c>
      <c r="D967" s="4" t="str">
        <f ca="1">IFERROR(__xludf.DUMMYFUNCTION("""COMPUTED_VALUE"""),"http://www.mscd.edu/")</f>
        <v>http://www.mscd.edu/</v>
      </c>
      <c r="G967" s="2" t="str">
        <f t="shared" ca="1" si="0"/>
        <v>Metropolitan State College of Denver</v>
      </c>
      <c r="H967" s="5" t="str">
        <f t="shared" ca="1" si="1"/>
        <v>Metropolitan State College of Denver</v>
      </c>
      <c r="I967" s="3" t="str">
        <f t="shared" ca="1" si="2"/>
        <v>'Metropolitan State College of Denver',</v>
      </c>
    </row>
    <row r="968" spans="1:9">
      <c r="A968" s="1" t="s">
        <v>966</v>
      </c>
      <c r="B968" s="3" t="str">
        <f ca="1">IFERROR(__xludf.DUMMYFUNCTION("SPLIT(A968,"","")"),"US")</f>
        <v>US</v>
      </c>
      <c r="C968" s="3" t="str">
        <f ca="1">IFERROR(__xludf.DUMMYFUNCTION("""COMPUTED_VALUE"""),"Metropolitan State University")</f>
        <v>Metropolitan State University</v>
      </c>
      <c r="D968" s="4" t="str">
        <f ca="1">IFERROR(__xludf.DUMMYFUNCTION("""COMPUTED_VALUE"""),"http://www.metro.msus.edu/")</f>
        <v>http://www.metro.msus.edu/</v>
      </c>
      <c r="G968" s="2" t="str">
        <f t="shared" ca="1" si="0"/>
        <v>Metropolitan State University</v>
      </c>
      <c r="H968" s="5" t="str">
        <f t="shared" ca="1" si="1"/>
        <v>Metropolitan State University</v>
      </c>
      <c r="I968" s="3" t="str">
        <f t="shared" ca="1" si="2"/>
        <v>'Metropolitan State University',</v>
      </c>
    </row>
    <row r="969" spans="1:9">
      <c r="A969" s="1" t="s">
        <v>967</v>
      </c>
      <c r="B969" s="3" t="str">
        <f ca="1">IFERROR(__xludf.DUMMYFUNCTION("SPLIT(A969,"","")"),"US")</f>
        <v>US</v>
      </c>
      <c r="C969" s="3" t="str">
        <f ca="1">IFERROR(__xludf.DUMMYFUNCTION("""COMPUTED_VALUE"""),"MGH Institute of Health Professions")</f>
        <v>MGH Institute of Health Professions</v>
      </c>
      <c r="D969" s="4" t="str">
        <f ca="1">IFERROR(__xludf.DUMMYFUNCTION("""COMPUTED_VALUE"""),"http://www.mghihp.edu/")</f>
        <v>http://www.mghihp.edu/</v>
      </c>
      <c r="G969" s="2" t="str">
        <f t="shared" ca="1" si="0"/>
        <v>MGH Institute of Health Professions</v>
      </c>
      <c r="H969" s="5" t="str">
        <f t="shared" ca="1" si="1"/>
        <v>MGH Institute of Health Professions</v>
      </c>
      <c r="I969" s="3" t="str">
        <f t="shared" ca="1" si="2"/>
        <v>'MGH Institute of Health Professions',</v>
      </c>
    </row>
    <row r="970" spans="1:9">
      <c r="A970" s="1" t="s">
        <v>968</v>
      </c>
      <c r="B970" s="3" t="str">
        <f ca="1">IFERROR(__xludf.DUMMYFUNCTION("SPLIT(A970,"","")"),"US")</f>
        <v>US</v>
      </c>
      <c r="C970" s="3" t="str">
        <f ca="1">IFERROR(__xludf.DUMMYFUNCTION("""COMPUTED_VALUE"""),"Miami Dade College")</f>
        <v>Miami Dade College</v>
      </c>
      <c r="D970" s="4" t="str">
        <f ca="1">IFERROR(__xludf.DUMMYFUNCTION("""COMPUTED_VALUE"""),"http://www.mdc.edu/")</f>
        <v>http://www.mdc.edu/</v>
      </c>
      <c r="G970" s="2" t="str">
        <f t="shared" ca="1" si="0"/>
        <v>Miami Dade College</v>
      </c>
      <c r="H970" s="5" t="str">
        <f t="shared" ca="1" si="1"/>
        <v>Miami Dade College</v>
      </c>
      <c r="I970" s="3" t="str">
        <f t="shared" ca="1" si="2"/>
        <v>'Miami Dade College',</v>
      </c>
    </row>
    <row r="971" spans="1:9">
      <c r="A971" s="1" t="s">
        <v>969</v>
      </c>
      <c r="B971" s="3" t="str">
        <f ca="1">IFERROR(__xludf.DUMMYFUNCTION("SPLIT(A971,"","")"),"US")</f>
        <v>US</v>
      </c>
      <c r="C971" s="3" t="str">
        <f ca="1">IFERROR(__xludf.DUMMYFUNCTION("""COMPUTED_VALUE"""),"Miami University of Ohio")</f>
        <v>Miami University of Ohio</v>
      </c>
      <c r="D971" s="4" t="str">
        <f ca="1">IFERROR(__xludf.DUMMYFUNCTION("""COMPUTED_VALUE"""),"http://www.muohio.edu/")</f>
        <v>http://www.muohio.edu/</v>
      </c>
      <c r="G971" s="2" t="str">
        <f t="shared" ca="1" si="0"/>
        <v>Miami University of Ohio</v>
      </c>
      <c r="H971" s="5" t="str">
        <f t="shared" ca="1" si="1"/>
        <v>Miami University of Ohio</v>
      </c>
      <c r="I971" s="3" t="str">
        <f t="shared" ca="1" si="2"/>
        <v>'Miami University of Ohio',</v>
      </c>
    </row>
    <row r="972" spans="1:9">
      <c r="A972" s="1" t="s">
        <v>970</v>
      </c>
      <c r="B972" s="3" t="str">
        <f ca="1">IFERROR(__xludf.DUMMYFUNCTION("SPLIT(A972,"","")"),"US")</f>
        <v>US</v>
      </c>
      <c r="C972" s="3" t="str">
        <f ca="1">IFERROR(__xludf.DUMMYFUNCTION("""COMPUTED_VALUE"""),"Miami University of Ohio - Hamilton")</f>
        <v>Miami University of Ohio - Hamilton</v>
      </c>
      <c r="D972" s="4" t="str">
        <f ca="1">IFERROR(__xludf.DUMMYFUNCTION("""COMPUTED_VALUE"""),"http://www.ham.muohio.edu/")</f>
        <v>http://www.ham.muohio.edu/</v>
      </c>
      <c r="G972" s="2" t="str">
        <f t="shared" ca="1" si="0"/>
        <v>Miami University of Ohio - Hamilton</v>
      </c>
      <c r="H972" s="5" t="str">
        <f t="shared" ca="1" si="1"/>
        <v>Miami University of Ohio - Hamilton</v>
      </c>
      <c r="I972" s="3" t="str">
        <f t="shared" ca="1" si="2"/>
        <v>'Miami University of Ohio - Hamilton',</v>
      </c>
    </row>
    <row r="973" spans="1:9">
      <c r="A973" s="1" t="s">
        <v>971</v>
      </c>
      <c r="B973" s="3" t="str">
        <f ca="1">IFERROR(__xludf.DUMMYFUNCTION("SPLIT(A973,"","")"),"US")</f>
        <v>US</v>
      </c>
      <c r="C973" s="3" t="str">
        <f ca="1">IFERROR(__xludf.DUMMYFUNCTION("""COMPUTED_VALUE"""),"Miami University of Ohio - Middletown")</f>
        <v>Miami University of Ohio - Middletown</v>
      </c>
      <c r="D973" s="4" t="str">
        <f ca="1">IFERROR(__xludf.DUMMYFUNCTION("""COMPUTED_VALUE"""),"http://www.mid.muohio.edu/")</f>
        <v>http://www.mid.muohio.edu/</v>
      </c>
      <c r="G973" s="2" t="str">
        <f t="shared" ca="1" si="0"/>
        <v>Miami University of Ohio - Middletown</v>
      </c>
      <c r="H973" s="5" t="str">
        <f t="shared" ca="1" si="1"/>
        <v>Miami University of Ohio - Middletown</v>
      </c>
      <c r="I973" s="3" t="str">
        <f t="shared" ca="1" si="2"/>
        <v>'Miami University of Ohio - Middletown',</v>
      </c>
    </row>
    <row r="974" spans="1:9">
      <c r="A974" s="1" t="s">
        <v>972</v>
      </c>
      <c r="B974" s="3" t="str">
        <f ca="1">IFERROR(__xludf.DUMMYFUNCTION("SPLIT(A974,"","")"),"US")</f>
        <v>US</v>
      </c>
      <c r="C974" s="3" t="str">
        <f ca="1">IFERROR(__xludf.DUMMYFUNCTION("""COMPUTED_VALUE"""),"Michigan School of Professional Psychology")</f>
        <v>Michigan School of Professional Psychology</v>
      </c>
      <c r="D974" s="4" t="str">
        <f ca="1">IFERROR(__xludf.DUMMYFUNCTION("""COMPUTED_VALUE"""),"http://www.mispp.edu/")</f>
        <v>http://www.mispp.edu/</v>
      </c>
      <c r="G974" s="2" t="str">
        <f t="shared" ca="1" si="0"/>
        <v>Michigan School of Professional Psychology</v>
      </c>
      <c r="H974" s="5" t="str">
        <f t="shared" ca="1" si="1"/>
        <v>Michigan School of Professional Psychology</v>
      </c>
      <c r="I974" s="3" t="str">
        <f t="shared" ca="1" si="2"/>
        <v>'Michigan School of Professional Psychology',</v>
      </c>
    </row>
    <row r="975" spans="1:9">
      <c r="A975" s="1" t="s">
        <v>973</v>
      </c>
      <c r="B975" s="3" t="str">
        <f ca="1">IFERROR(__xludf.DUMMYFUNCTION("SPLIT(A975,"","")"),"US")</f>
        <v>US</v>
      </c>
      <c r="C975" s="3" t="str">
        <f ca="1">IFERROR(__xludf.DUMMYFUNCTION("""COMPUTED_VALUE"""),"Michigan State University")</f>
        <v>Michigan State University</v>
      </c>
      <c r="D975" s="4" t="str">
        <f ca="1">IFERROR(__xludf.DUMMYFUNCTION("""COMPUTED_VALUE"""),"http://www.msu.edu/")</f>
        <v>http://www.msu.edu/</v>
      </c>
      <c r="G975" s="2" t="str">
        <f t="shared" ca="1" si="0"/>
        <v>Michigan State University</v>
      </c>
      <c r="H975" s="5" t="str">
        <f t="shared" ca="1" si="1"/>
        <v>Michigan State University</v>
      </c>
      <c r="I975" s="3" t="str">
        <f t="shared" ca="1" si="2"/>
        <v>'Michigan State University',</v>
      </c>
    </row>
    <row r="976" spans="1:9">
      <c r="A976" s="1" t="s">
        <v>974</v>
      </c>
      <c r="B976" s="3" t="str">
        <f ca="1">IFERROR(__xludf.DUMMYFUNCTION("SPLIT(A976,"","")"),"US")</f>
        <v>US</v>
      </c>
      <c r="C976" s="3" t="str">
        <f ca="1">IFERROR(__xludf.DUMMYFUNCTION("""COMPUTED_VALUE"""),"Michigan Technological University")</f>
        <v>Michigan Technological University</v>
      </c>
      <c r="D976" s="4" t="str">
        <f ca="1">IFERROR(__xludf.DUMMYFUNCTION("""COMPUTED_VALUE"""),"http://www.mtu.edu/")</f>
        <v>http://www.mtu.edu/</v>
      </c>
      <c r="G976" s="2" t="str">
        <f t="shared" ca="1" si="0"/>
        <v>Michigan Technological University</v>
      </c>
      <c r="H976" s="5" t="str">
        <f t="shared" ca="1" si="1"/>
        <v>Michigan Technological University</v>
      </c>
      <c r="I976" s="3" t="str">
        <f t="shared" ca="1" si="2"/>
        <v>'Michigan Technological University',</v>
      </c>
    </row>
    <row r="977" spans="1:9">
      <c r="A977" s="1" t="s">
        <v>975</v>
      </c>
      <c r="B977" s="3" t="str">
        <f ca="1">IFERROR(__xludf.DUMMYFUNCTION("SPLIT(A977,"","")"),"US")</f>
        <v>US</v>
      </c>
      <c r="C977" s="3" t="str">
        <f ca="1">IFERROR(__xludf.DUMMYFUNCTION("""COMPUTED_VALUE"""),"Mid-America Nazarene University")</f>
        <v>Mid-America Nazarene University</v>
      </c>
      <c r="D977" s="4" t="str">
        <f ca="1">IFERROR(__xludf.DUMMYFUNCTION("""COMPUTED_VALUE"""),"http://www.mnu.edu/")</f>
        <v>http://www.mnu.edu/</v>
      </c>
      <c r="G977" s="2" t="str">
        <f t="shared" ca="1" si="0"/>
        <v>Mid-America Nazarene University</v>
      </c>
      <c r="H977" s="5" t="str">
        <f t="shared" ca="1" si="1"/>
        <v>Mid-America Nazarene University</v>
      </c>
      <c r="I977" s="3" t="str">
        <f t="shared" ca="1" si="2"/>
        <v>'Mid-America Nazarene University',</v>
      </c>
    </row>
    <row r="978" spans="1:9">
      <c r="A978" s="1" t="s">
        <v>976</v>
      </c>
      <c r="B978" s="3" t="str">
        <f ca="1">IFERROR(__xludf.DUMMYFUNCTION("SPLIT(A978,"","")"),"US")</f>
        <v>US</v>
      </c>
      <c r="C978" s="3" t="str">
        <f ca="1">IFERROR(__xludf.DUMMYFUNCTION("""COMPUTED_VALUE"""),"Mid-American Bible College")</f>
        <v>Mid-American Bible College</v>
      </c>
      <c r="D978" s="4" t="str">
        <f ca="1">IFERROR(__xludf.DUMMYFUNCTION("""COMPUTED_VALUE"""),"http://www.concentric.net/~rkriesel/MBC/MBC.shtml")</f>
        <v>http://www.concentric.net/~rkriesel/MBC/MBC.shtml</v>
      </c>
      <c r="G978" s="2" t="str">
        <f t="shared" ca="1" si="0"/>
        <v>Mid-American Bible College</v>
      </c>
      <c r="H978" s="5" t="str">
        <f t="shared" ca="1" si="1"/>
        <v>Mid-American Bible College</v>
      </c>
      <c r="I978" s="3" t="str">
        <f t="shared" ca="1" si="2"/>
        <v>'Mid-American Bible College',</v>
      </c>
    </row>
    <row r="979" spans="1:9">
      <c r="A979" s="1" t="s">
        <v>977</v>
      </c>
      <c r="B979" s="3" t="str">
        <f ca="1">IFERROR(__xludf.DUMMYFUNCTION("SPLIT(A979,"","")"),"US")</f>
        <v>US</v>
      </c>
      <c r="C979" s="3" t="str">
        <f ca="1">IFERROR(__xludf.DUMMYFUNCTION("""COMPUTED_VALUE"""),"Mid-Continent Baptist Bible College")</f>
        <v>Mid-Continent Baptist Bible College</v>
      </c>
      <c r="D979" s="4" t="str">
        <f ca="1">IFERROR(__xludf.DUMMYFUNCTION("""COMPUTED_VALUE"""),"http://www.mcbc.edu/")</f>
        <v>http://www.mcbc.edu/</v>
      </c>
      <c r="G979" s="2" t="str">
        <f t="shared" ca="1" si="0"/>
        <v>Mid-Continent Baptist Bible College</v>
      </c>
      <c r="H979" s="5" t="str">
        <f t="shared" ca="1" si="1"/>
        <v>Mid-Continent Baptist Bible College</v>
      </c>
      <c r="I979" s="3" t="str">
        <f t="shared" ca="1" si="2"/>
        <v>'Mid-Continent Baptist Bible College',</v>
      </c>
    </row>
    <row r="980" spans="1:9">
      <c r="A980" s="1" t="s">
        <v>978</v>
      </c>
      <c r="B980" s="3" t="str">
        <f ca="1">IFERROR(__xludf.DUMMYFUNCTION("SPLIT(A980,"","")"),"US")</f>
        <v>US</v>
      </c>
      <c r="C980" s="3" t="str">
        <f ca="1">IFERROR(__xludf.DUMMYFUNCTION("""COMPUTED_VALUE"""),"Middlebury College")</f>
        <v>Middlebury College</v>
      </c>
      <c r="D980" s="4" t="str">
        <f ca="1">IFERROR(__xludf.DUMMYFUNCTION("""COMPUTED_VALUE"""),"http://www.middlebury.edu/")</f>
        <v>http://www.middlebury.edu/</v>
      </c>
      <c r="G980" s="2" t="str">
        <f t="shared" ca="1" si="0"/>
        <v>Middlebury College</v>
      </c>
      <c r="H980" s="5" t="str">
        <f t="shared" ca="1" si="1"/>
        <v>Middlebury College</v>
      </c>
      <c r="I980" s="3" t="str">
        <f t="shared" ca="1" si="2"/>
        <v>'Middlebury College',</v>
      </c>
    </row>
    <row r="981" spans="1:9">
      <c r="A981" s="1" t="s">
        <v>979</v>
      </c>
      <c r="B981" s="3" t="str">
        <f ca="1">IFERROR(__xludf.DUMMYFUNCTION("SPLIT(A981,"","")"),"US")</f>
        <v>US</v>
      </c>
      <c r="C981" s="3" t="str">
        <f ca="1">IFERROR(__xludf.DUMMYFUNCTION("""COMPUTED_VALUE"""),"Middle Tennessee State University")</f>
        <v>Middle Tennessee State University</v>
      </c>
      <c r="D981" s="4" t="str">
        <f ca="1">IFERROR(__xludf.DUMMYFUNCTION("""COMPUTED_VALUE"""),"http://www.mtsu.edu/")</f>
        <v>http://www.mtsu.edu/</v>
      </c>
      <c r="G981" s="2" t="str">
        <f t="shared" ca="1" si="0"/>
        <v>Middle Tennessee State University</v>
      </c>
      <c r="H981" s="5" t="str">
        <f t="shared" ca="1" si="1"/>
        <v>Middle Tennessee State University</v>
      </c>
      <c r="I981" s="3" t="str">
        <f t="shared" ca="1" si="2"/>
        <v>'Middle Tennessee State University',</v>
      </c>
    </row>
    <row r="982" spans="1:9">
      <c r="A982" s="1" t="s">
        <v>980</v>
      </c>
      <c r="B982" s="3" t="str">
        <f ca="1">IFERROR(__xludf.DUMMYFUNCTION("SPLIT(A982,"","")"),"US")</f>
        <v>US</v>
      </c>
      <c r="C982" s="3" t="str">
        <f ca="1">IFERROR(__xludf.DUMMYFUNCTION("""COMPUTED_VALUE"""),"Midland Lutheran College")</f>
        <v>Midland Lutheran College</v>
      </c>
      <c r="D982" s="4" t="str">
        <f ca="1">IFERROR(__xludf.DUMMYFUNCTION("""COMPUTED_VALUE"""),"http://www.mlc.edu/")</f>
        <v>http://www.mlc.edu/</v>
      </c>
      <c r="G982" s="2" t="str">
        <f t="shared" ca="1" si="0"/>
        <v>Midland Lutheran College</v>
      </c>
      <c r="H982" s="5" t="str">
        <f t="shared" ca="1" si="1"/>
        <v>Midland Lutheran College</v>
      </c>
      <c r="I982" s="3" t="str">
        <f t="shared" ca="1" si="2"/>
        <v>'Midland Lutheran College',</v>
      </c>
    </row>
    <row r="983" spans="1:9">
      <c r="A983" s="1" t="s">
        <v>981</v>
      </c>
      <c r="B983" s="3" t="str">
        <f ca="1">IFERROR(__xludf.DUMMYFUNCTION("SPLIT(A983,"","")"),"US")</f>
        <v>US</v>
      </c>
      <c r="C983" s="3" t="str">
        <f ca="1">IFERROR(__xludf.DUMMYFUNCTION("""COMPUTED_VALUE"""),"Midway College")</f>
        <v>Midway College</v>
      </c>
      <c r="D983" s="4" t="str">
        <f ca="1">IFERROR(__xludf.DUMMYFUNCTION("""COMPUTED_VALUE"""),"http://www.midway.edu/")</f>
        <v>http://www.midway.edu/</v>
      </c>
      <c r="G983" s="2" t="str">
        <f t="shared" ca="1" si="0"/>
        <v>Midway College</v>
      </c>
      <c r="H983" s="5" t="str">
        <f t="shared" ca="1" si="1"/>
        <v>Midway College</v>
      </c>
      <c r="I983" s="3" t="str">
        <f t="shared" ca="1" si="2"/>
        <v>'Midway College',</v>
      </c>
    </row>
    <row r="984" spans="1:9">
      <c r="A984" s="1" t="s">
        <v>982</v>
      </c>
      <c r="B984" s="3" t="str">
        <f ca="1">IFERROR(__xludf.DUMMYFUNCTION("SPLIT(A984,"","")"),"US")</f>
        <v>US</v>
      </c>
      <c r="C984" s="3" t="str">
        <f ca="1">IFERROR(__xludf.DUMMYFUNCTION("""COMPUTED_VALUE"""),"Midwestern State University")</f>
        <v>Midwestern State University</v>
      </c>
      <c r="D984" s="4" t="str">
        <f ca="1">IFERROR(__xludf.DUMMYFUNCTION("""COMPUTED_VALUE"""),"http://www.mwsu.edu/")</f>
        <v>http://www.mwsu.edu/</v>
      </c>
      <c r="G984" s="2" t="str">
        <f t="shared" ca="1" si="0"/>
        <v>Midwestern State University</v>
      </c>
      <c r="H984" s="5" t="str">
        <f t="shared" ca="1" si="1"/>
        <v>Midwestern State University</v>
      </c>
      <c r="I984" s="3" t="str">
        <f t="shared" ca="1" si="2"/>
        <v>'Midwestern State University',</v>
      </c>
    </row>
    <row r="985" spans="1:9">
      <c r="A985" s="1" t="s">
        <v>983</v>
      </c>
      <c r="B985" s="3" t="str">
        <f ca="1">IFERROR(__xludf.DUMMYFUNCTION("SPLIT(A985,"","")"),"US")</f>
        <v>US</v>
      </c>
      <c r="C985" s="3" t="str">
        <f ca="1">IFERROR(__xludf.DUMMYFUNCTION("""COMPUTED_VALUE"""),"Midwestern University")</f>
        <v>Midwestern University</v>
      </c>
      <c r="D985" s="4" t="str">
        <f ca="1">IFERROR(__xludf.DUMMYFUNCTION("""COMPUTED_VALUE"""),"http://www.midwestern.edu/")</f>
        <v>http://www.midwestern.edu/</v>
      </c>
      <c r="G985" s="2" t="str">
        <f t="shared" ca="1" si="0"/>
        <v>Midwestern University</v>
      </c>
      <c r="H985" s="5" t="str">
        <f t="shared" ca="1" si="1"/>
        <v>Midwestern University</v>
      </c>
      <c r="I985" s="3" t="str">
        <f t="shared" ca="1" si="2"/>
        <v>'Midwestern University',</v>
      </c>
    </row>
    <row r="986" spans="1:9">
      <c r="A986" s="1" t="s">
        <v>984</v>
      </c>
      <c r="B986" s="3" t="str">
        <f ca="1">IFERROR(__xludf.DUMMYFUNCTION("SPLIT(A986,"","")"),"US")</f>
        <v>US</v>
      </c>
      <c r="C986" s="3" t="str">
        <f ca="1">IFERROR(__xludf.DUMMYFUNCTION("""COMPUTED_VALUE"""),"Miles College")</f>
        <v>Miles College</v>
      </c>
      <c r="D986" s="4" t="str">
        <f ca="1">IFERROR(__xludf.DUMMYFUNCTION("""COMPUTED_VALUE"""),"http://www.miles.edu/")</f>
        <v>http://www.miles.edu/</v>
      </c>
      <c r="G986" s="2" t="str">
        <f t="shared" ca="1" si="0"/>
        <v>Miles College</v>
      </c>
      <c r="H986" s="5" t="str">
        <f t="shared" ca="1" si="1"/>
        <v>Miles College</v>
      </c>
      <c r="I986" s="3" t="str">
        <f t="shared" ca="1" si="2"/>
        <v>'Miles College',</v>
      </c>
    </row>
    <row r="987" spans="1:9">
      <c r="A987" s="1" t="s">
        <v>985</v>
      </c>
      <c r="B987" s="3" t="str">
        <f ca="1">IFERROR(__xludf.DUMMYFUNCTION("SPLIT(A987,"","")"),"US")</f>
        <v>US</v>
      </c>
      <c r="C987" s="3" t="str">
        <f ca="1">IFERROR(__xludf.DUMMYFUNCTION("""COMPUTED_VALUE"""),"Millennia Atlantic University")</f>
        <v>Millennia Atlantic University</v>
      </c>
      <c r="D987" s="4" t="str">
        <f ca="1">IFERROR(__xludf.DUMMYFUNCTION("""COMPUTED_VALUE"""),"http://www.maufl.edu/")</f>
        <v>http://www.maufl.edu/</v>
      </c>
      <c r="G987" s="2" t="str">
        <f t="shared" ca="1" si="0"/>
        <v>Millennia Atlantic University</v>
      </c>
      <c r="H987" s="5" t="str">
        <f t="shared" ca="1" si="1"/>
        <v>Millennia Atlantic University</v>
      </c>
      <c r="I987" s="3" t="str">
        <f t="shared" ca="1" si="2"/>
        <v>'Millennia Atlantic University',</v>
      </c>
    </row>
    <row r="988" spans="1:9">
      <c r="A988" s="1" t="s">
        <v>986</v>
      </c>
      <c r="B988" s="3" t="str">
        <f ca="1">IFERROR(__xludf.DUMMYFUNCTION("SPLIT(A988,"","")"),"US")</f>
        <v>US</v>
      </c>
      <c r="C988" s="3" t="str">
        <f ca="1">IFERROR(__xludf.DUMMYFUNCTION("""COMPUTED_VALUE"""),"Millersville University of Pennsylvania")</f>
        <v>Millersville University of Pennsylvania</v>
      </c>
      <c r="D988" s="4" t="str">
        <f ca="1">IFERROR(__xludf.DUMMYFUNCTION("""COMPUTED_VALUE"""),"http://www.millersv.edu/")</f>
        <v>http://www.millersv.edu/</v>
      </c>
      <c r="G988" s="2" t="str">
        <f t="shared" ca="1" si="0"/>
        <v>Millersville University of Pennsylvania</v>
      </c>
      <c r="H988" s="5" t="str">
        <f t="shared" ca="1" si="1"/>
        <v>Millersville University of Pennsylvania</v>
      </c>
      <c r="I988" s="3" t="str">
        <f t="shared" ca="1" si="2"/>
        <v>'Millersville University of Pennsylvania',</v>
      </c>
    </row>
    <row r="989" spans="1:9">
      <c r="A989" s="1" t="s">
        <v>987</v>
      </c>
      <c r="B989" s="3" t="str">
        <f ca="1">IFERROR(__xludf.DUMMYFUNCTION("SPLIT(A989,"","")"),"US")</f>
        <v>US</v>
      </c>
      <c r="C989" s="3" t="str">
        <f ca="1">IFERROR(__xludf.DUMMYFUNCTION("""COMPUTED_VALUE"""),"Milligan College")</f>
        <v>Milligan College</v>
      </c>
      <c r="D989" s="4" t="str">
        <f ca="1">IFERROR(__xludf.DUMMYFUNCTION("""COMPUTED_VALUE"""),"http://www.milligan.edu/")</f>
        <v>http://www.milligan.edu/</v>
      </c>
      <c r="G989" s="2" t="str">
        <f t="shared" ca="1" si="0"/>
        <v>Milligan College</v>
      </c>
      <c r="H989" s="5" t="str">
        <f t="shared" ca="1" si="1"/>
        <v>Milligan College</v>
      </c>
      <c r="I989" s="3" t="str">
        <f t="shared" ca="1" si="2"/>
        <v>'Milligan College',</v>
      </c>
    </row>
    <row r="990" spans="1:9">
      <c r="A990" s="1" t="s">
        <v>988</v>
      </c>
      <c r="B990" s="3" t="str">
        <f ca="1">IFERROR(__xludf.DUMMYFUNCTION("SPLIT(A990,"","")"),"US")</f>
        <v>US</v>
      </c>
      <c r="C990" s="3" t="str">
        <f ca="1">IFERROR(__xludf.DUMMYFUNCTION("""COMPUTED_VALUE"""),"Millikin University")</f>
        <v>Millikin University</v>
      </c>
      <c r="D990" s="4" t="str">
        <f ca="1">IFERROR(__xludf.DUMMYFUNCTION("""COMPUTED_VALUE"""),"http://www.millikin.edu/")</f>
        <v>http://www.millikin.edu/</v>
      </c>
      <c r="G990" s="2" t="str">
        <f t="shared" ca="1" si="0"/>
        <v>Millikin University</v>
      </c>
      <c r="H990" s="5" t="str">
        <f t="shared" ca="1" si="1"/>
        <v>Millikin University</v>
      </c>
      <c r="I990" s="3" t="str">
        <f t="shared" ca="1" si="2"/>
        <v>'Millikin University',</v>
      </c>
    </row>
    <row r="991" spans="1:9">
      <c r="A991" s="1" t="s">
        <v>989</v>
      </c>
      <c r="B991" s="3" t="str">
        <f ca="1">IFERROR(__xludf.DUMMYFUNCTION("SPLIT(A991,"","")"),"US")</f>
        <v>US</v>
      </c>
      <c r="C991" s="3" t="str">
        <f ca="1">IFERROR(__xludf.DUMMYFUNCTION("""COMPUTED_VALUE"""),"Millsaps College")</f>
        <v>Millsaps College</v>
      </c>
      <c r="D991" s="4" t="str">
        <f ca="1">IFERROR(__xludf.DUMMYFUNCTION("""COMPUTED_VALUE"""),"http://www.millsaps.edu/")</f>
        <v>http://www.millsaps.edu/</v>
      </c>
      <c r="G991" s="2" t="str">
        <f t="shared" ca="1" si="0"/>
        <v>Millsaps College</v>
      </c>
      <c r="H991" s="5" t="str">
        <f t="shared" ca="1" si="1"/>
        <v>Millsaps College</v>
      </c>
      <c r="I991" s="3" t="str">
        <f t="shared" ca="1" si="2"/>
        <v>'Millsaps College',</v>
      </c>
    </row>
    <row r="992" spans="1:9">
      <c r="A992" s="1" t="s">
        <v>990</v>
      </c>
      <c r="B992" s="3" t="str">
        <f ca="1">IFERROR(__xludf.DUMMYFUNCTION("SPLIT(A992,"","")"),"US")</f>
        <v>US</v>
      </c>
      <c r="C992" s="3" t="str">
        <f ca="1">IFERROR(__xludf.DUMMYFUNCTION("""COMPUTED_VALUE"""),"Mills College")</f>
        <v>Mills College</v>
      </c>
      <c r="D992" s="4" t="str">
        <f ca="1">IFERROR(__xludf.DUMMYFUNCTION("""COMPUTED_VALUE"""),"http://www.mills.edu/")</f>
        <v>http://www.mills.edu/</v>
      </c>
      <c r="G992" s="2" t="str">
        <f t="shared" ca="1" si="0"/>
        <v>Mills College</v>
      </c>
      <c r="H992" s="5" t="str">
        <f t="shared" ca="1" si="1"/>
        <v>Mills College</v>
      </c>
      <c r="I992" s="3" t="str">
        <f t="shared" ca="1" si="2"/>
        <v>'Mills College',</v>
      </c>
    </row>
    <row r="993" spans="1:9">
      <c r="A993" s="1" t="s">
        <v>991</v>
      </c>
      <c r="B993" s="3" t="str">
        <f ca="1">IFERROR(__xludf.DUMMYFUNCTION("SPLIT(A993,"","")"),"US")</f>
        <v>US</v>
      </c>
      <c r="C993" s="3" t="str">
        <f ca="1">IFERROR(__xludf.DUMMYFUNCTION("""COMPUTED_VALUE"""),"Mills Grae University")</f>
        <v>Mills Grae University</v>
      </c>
      <c r="D993" s="4" t="str">
        <f ca="1">IFERROR(__xludf.DUMMYFUNCTION("""COMPUTED_VALUE"""),"http://www.mgu.edu/")</f>
        <v>http://www.mgu.edu/</v>
      </c>
      <c r="G993" s="2" t="str">
        <f t="shared" ca="1" si="0"/>
        <v>Mills Grae University</v>
      </c>
      <c r="H993" s="5" t="str">
        <f t="shared" ca="1" si="1"/>
        <v>Mills Grae University</v>
      </c>
      <c r="I993" s="3" t="str">
        <f t="shared" ca="1" si="2"/>
        <v>'Mills Grae University',</v>
      </c>
    </row>
    <row r="994" spans="1:9">
      <c r="A994" s="1" t="s">
        <v>992</v>
      </c>
      <c r="B994" s="3" t="str">
        <f ca="1">IFERROR(__xludf.DUMMYFUNCTION("SPLIT(A994,"","")"),"US")</f>
        <v>US</v>
      </c>
      <c r="C994" s="3" t="str">
        <f ca="1">IFERROR(__xludf.DUMMYFUNCTION("""COMPUTED_VALUE"""),"Milwaukee Institute of Art and Design")</f>
        <v>Milwaukee Institute of Art and Design</v>
      </c>
      <c r="D994" s="4" t="str">
        <f ca="1">IFERROR(__xludf.DUMMYFUNCTION("""COMPUTED_VALUE"""),"http://www.miad.edu/")</f>
        <v>http://www.miad.edu/</v>
      </c>
      <c r="G994" s="2" t="str">
        <f t="shared" ca="1" si="0"/>
        <v>Milwaukee Institute of Art and Design</v>
      </c>
      <c r="H994" s="5" t="str">
        <f t="shared" ca="1" si="1"/>
        <v>Milwaukee Institute of Art and Design</v>
      </c>
      <c r="I994" s="3" t="str">
        <f t="shared" ca="1" si="2"/>
        <v>'Milwaukee Institute of Art and Design',</v>
      </c>
    </row>
    <row r="995" spans="1:9">
      <c r="A995" s="1" t="s">
        <v>993</v>
      </c>
      <c r="B995" s="3" t="str">
        <f ca="1">IFERROR(__xludf.DUMMYFUNCTION("SPLIT(A995,"","")"),"US")</f>
        <v>US</v>
      </c>
      <c r="C995" s="3" t="str">
        <f ca="1">IFERROR(__xludf.DUMMYFUNCTION("""COMPUTED_VALUE"""),"Milwaukee School of Engineering")</f>
        <v>Milwaukee School of Engineering</v>
      </c>
      <c r="D995" s="4" t="str">
        <f ca="1">IFERROR(__xludf.DUMMYFUNCTION("""COMPUTED_VALUE"""),"http://www.msoe.edu/")</f>
        <v>http://www.msoe.edu/</v>
      </c>
      <c r="G995" s="2" t="str">
        <f t="shared" ca="1" si="0"/>
        <v>Milwaukee School of Engineering</v>
      </c>
      <c r="H995" s="5" t="str">
        <f t="shared" ca="1" si="1"/>
        <v>Milwaukee School of Engineering</v>
      </c>
      <c r="I995" s="3" t="str">
        <f t="shared" ca="1" si="2"/>
        <v>'Milwaukee School of Engineering',</v>
      </c>
    </row>
    <row r="996" spans="1:9">
      <c r="A996" s="1" t="s">
        <v>994</v>
      </c>
      <c r="B996" s="3" t="str">
        <f ca="1">IFERROR(__xludf.DUMMYFUNCTION("SPLIT(A996,"","")"),"US")</f>
        <v>US</v>
      </c>
      <c r="C996" s="3" t="str">
        <f ca="1">IFERROR(__xludf.DUMMYFUNCTION("""COMPUTED_VALUE"""),"Minneapolis College of Art and Design")</f>
        <v>Minneapolis College of Art and Design</v>
      </c>
      <c r="D996" s="4" t="str">
        <f ca="1">IFERROR(__xludf.DUMMYFUNCTION("""COMPUTED_VALUE"""),"http://www.mcad.edu/")</f>
        <v>http://www.mcad.edu/</v>
      </c>
      <c r="G996" s="2" t="str">
        <f t="shared" ca="1" si="0"/>
        <v>Minneapolis College of Art and Design</v>
      </c>
      <c r="H996" s="5" t="str">
        <f t="shared" ca="1" si="1"/>
        <v>Minneapolis College of Art and Design</v>
      </c>
      <c r="I996" s="3" t="str">
        <f t="shared" ca="1" si="2"/>
        <v>'Minneapolis College of Art and Design',</v>
      </c>
    </row>
    <row r="997" spans="1:9">
      <c r="A997" s="1" t="s">
        <v>995</v>
      </c>
      <c r="B997" s="3" t="str">
        <f ca="1">IFERROR(__xludf.DUMMYFUNCTION("SPLIT(A997,"","")"),"US")</f>
        <v>US</v>
      </c>
      <c r="C997" s="3" t="str">
        <f ca="1">IFERROR(__xludf.DUMMYFUNCTION("""COMPUTED_VALUE"""),"Minnesota Bible College")</f>
        <v>Minnesota Bible College</v>
      </c>
      <c r="D997" s="4" t="str">
        <f ca="1">IFERROR(__xludf.DUMMYFUNCTION("""COMPUTED_VALUE"""),"http://www.mnbc.edu/")</f>
        <v>http://www.mnbc.edu/</v>
      </c>
      <c r="G997" s="2" t="str">
        <f t="shared" ca="1" si="0"/>
        <v>Minnesota Bible College</v>
      </c>
      <c r="H997" s="5" t="str">
        <f t="shared" ca="1" si="1"/>
        <v>Minnesota Bible College</v>
      </c>
      <c r="I997" s="3" t="str">
        <f t="shared" ca="1" si="2"/>
        <v>'Minnesota Bible College',</v>
      </c>
    </row>
    <row r="998" spans="1:9">
      <c r="A998" s="1" t="s">
        <v>996</v>
      </c>
      <c r="B998" s="3" t="str">
        <f ca="1">IFERROR(__xludf.DUMMYFUNCTION("SPLIT(A998,"","")"),"US")</f>
        <v>US</v>
      </c>
      <c r="C998" s="3" t="str">
        <f ca="1">IFERROR(__xludf.DUMMYFUNCTION("""COMPUTED_VALUE"""),"Minnesota School of Professional Psychology")</f>
        <v>Minnesota School of Professional Psychology</v>
      </c>
      <c r="D998" s="4" t="str">
        <f ca="1">IFERROR(__xludf.DUMMYFUNCTION("""COMPUTED_VALUE"""),"http://www.aspp.edu/mn.html")</f>
        <v>http://www.aspp.edu/mn.html</v>
      </c>
      <c r="G998" s="2" t="str">
        <f t="shared" ca="1" si="0"/>
        <v>Minnesota School of Professional Psychology</v>
      </c>
      <c r="H998" s="5" t="str">
        <f t="shared" ca="1" si="1"/>
        <v>Minnesota School of Professional Psychology</v>
      </c>
      <c r="I998" s="3" t="str">
        <f t="shared" ca="1" si="2"/>
        <v>'Minnesota School of Professional Psychology',</v>
      </c>
    </row>
    <row r="999" spans="1:9">
      <c r="A999" s="1" t="s">
        <v>997</v>
      </c>
      <c r="B999" s="3" t="str">
        <f ca="1">IFERROR(__xludf.DUMMYFUNCTION("SPLIT(A999,"","")"),"US")</f>
        <v>US</v>
      </c>
      <c r="C999" s="3" t="str">
        <f ca="1">IFERROR(__xludf.DUMMYFUNCTION("""COMPUTED_VALUE"""),"Minot State University")</f>
        <v>Minot State University</v>
      </c>
      <c r="D999" s="4" t="str">
        <f ca="1">IFERROR(__xludf.DUMMYFUNCTION("""COMPUTED_VALUE"""),"http://www.misu.nodak.edu/")</f>
        <v>http://www.misu.nodak.edu/</v>
      </c>
      <c r="G999" s="2" t="str">
        <f t="shared" ca="1" si="0"/>
        <v>Minot State University</v>
      </c>
      <c r="H999" s="5" t="str">
        <f t="shared" ca="1" si="1"/>
        <v>Minot State University</v>
      </c>
      <c r="I999" s="3" t="str">
        <f t="shared" ca="1" si="2"/>
        <v>'Minot State University',</v>
      </c>
    </row>
    <row r="1000" spans="1:9">
      <c r="A1000" s="1" t="s">
        <v>998</v>
      </c>
      <c r="B1000" s="3" t="str">
        <f ca="1">IFERROR(__xludf.DUMMYFUNCTION("SPLIT(A1000,"","")"),"US")</f>
        <v>US</v>
      </c>
      <c r="C1000" s="3" t="str">
        <f ca="1">IFERROR(__xludf.DUMMYFUNCTION("""COMPUTED_VALUE"""),"Mississippi College")</f>
        <v>Mississippi College</v>
      </c>
      <c r="D1000" s="4" t="str">
        <f ca="1">IFERROR(__xludf.DUMMYFUNCTION("""COMPUTED_VALUE"""),"http://www.mc.edu/")</f>
        <v>http://www.mc.edu/</v>
      </c>
      <c r="G1000" s="2" t="str">
        <f t="shared" ca="1" si="0"/>
        <v>Mississippi College</v>
      </c>
      <c r="H1000" s="5" t="str">
        <f t="shared" ca="1" si="1"/>
        <v>Mississippi College</v>
      </c>
      <c r="I1000" s="3" t="str">
        <f t="shared" ca="1" si="2"/>
        <v>'Mississippi College',</v>
      </c>
    </row>
    <row r="1001" spans="1:9">
      <c r="A1001" s="1" t="s">
        <v>999</v>
      </c>
      <c r="B1001" s="3" t="str">
        <f ca="1">IFERROR(__xludf.DUMMYFUNCTION("SPLIT(A1001,"","")"),"US")</f>
        <v>US</v>
      </c>
      <c r="C1001" s="3" t="str">
        <f ca="1">IFERROR(__xludf.DUMMYFUNCTION("""COMPUTED_VALUE"""),"Mississippi State University")</f>
        <v>Mississippi State University</v>
      </c>
      <c r="D1001" s="4" t="str">
        <f ca="1">IFERROR(__xludf.DUMMYFUNCTION("""COMPUTED_VALUE"""),"http://www.msstate.edu/")</f>
        <v>http://www.msstate.edu/</v>
      </c>
      <c r="G1001" s="2" t="str">
        <f t="shared" ca="1" si="0"/>
        <v>Mississippi State University</v>
      </c>
      <c r="H1001" s="5" t="str">
        <f t="shared" ca="1" si="1"/>
        <v>Mississippi State University</v>
      </c>
      <c r="I1001" s="3" t="str">
        <f t="shared" ca="1" si="2"/>
        <v>'Mississippi State University',</v>
      </c>
    </row>
    <row r="1002" spans="1:9">
      <c r="A1002" s="1" t="s">
        <v>1000</v>
      </c>
      <c r="B1002" s="3" t="str">
        <f ca="1">IFERROR(__xludf.DUMMYFUNCTION("SPLIT(A1002,"","")"),"US")</f>
        <v>US</v>
      </c>
      <c r="C1002" s="3" t="str">
        <f ca="1">IFERROR(__xludf.DUMMYFUNCTION("""COMPUTED_VALUE"""),"Mississippi University for Women")</f>
        <v>Mississippi University for Women</v>
      </c>
      <c r="D1002" s="4" t="str">
        <f ca="1">IFERROR(__xludf.DUMMYFUNCTION("""COMPUTED_VALUE"""),"http://www.muw.edu/")</f>
        <v>http://www.muw.edu/</v>
      </c>
      <c r="G1002" s="2" t="str">
        <f t="shared" ca="1" si="0"/>
        <v>Mississippi University for Women</v>
      </c>
      <c r="H1002" s="5" t="str">
        <f t="shared" ca="1" si="1"/>
        <v>Mississippi University for Women</v>
      </c>
      <c r="I1002" s="3" t="str">
        <f t="shared" ca="1" si="2"/>
        <v>'Mississippi University for Women',</v>
      </c>
    </row>
    <row r="1003" spans="1:9">
      <c r="A1003" s="1" t="s">
        <v>1001</v>
      </c>
      <c r="B1003" s="3" t="str">
        <f ca="1">IFERROR(__xludf.DUMMYFUNCTION("SPLIT(A1003,"","")"),"US")</f>
        <v>US</v>
      </c>
      <c r="C1003" s="3" t="str">
        <f ca="1">IFERROR(__xludf.DUMMYFUNCTION("""COMPUTED_VALUE"""),"Mississippi Valley State University")</f>
        <v>Mississippi Valley State University</v>
      </c>
      <c r="D1003" s="4" t="str">
        <f ca="1">IFERROR(__xludf.DUMMYFUNCTION("""COMPUTED_VALUE"""),"http://www.mvsu.edu/")</f>
        <v>http://www.mvsu.edu/</v>
      </c>
      <c r="G1003" s="2" t="str">
        <f t="shared" ca="1" si="0"/>
        <v>Mississippi Valley State University</v>
      </c>
      <c r="H1003" s="5" t="str">
        <f t="shared" ca="1" si="1"/>
        <v>Mississippi Valley State University</v>
      </c>
      <c r="I1003" s="3" t="str">
        <f t="shared" ca="1" si="2"/>
        <v>'Mississippi Valley State University',</v>
      </c>
    </row>
    <row r="1004" spans="1:9">
      <c r="A1004" s="1" t="s">
        <v>1002</v>
      </c>
      <c r="B1004" s="3" t="str">
        <f ca="1">IFERROR(__xludf.DUMMYFUNCTION("SPLIT(A1004,"","")"),"US")</f>
        <v>US</v>
      </c>
      <c r="C1004" s="3" t="str">
        <f ca="1">IFERROR(__xludf.DUMMYFUNCTION("""COMPUTED_VALUE"""),"Missouri Baptist College")</f>
        <v>Missouri Baptist College</v>
      </c>
      <c r="D1004" s="4" t="str">
        <f ca="1">IFERROR(__xludf.DUMMYFUNCTION("""COMPUTED_VALUE"""),"http://www.mobap.edu/")</f>
        <v>http://www.mobap.edu/</v>
      </c>
      <c r="G1004" s="2" t="str">
        <f t="shared" ca="1" si="0"/>
        <v>Missouri Baptist College</v>
      </c>
      <c r="H1004" s="5" t="str">
        <f t="shared" ca="1" si="1"/>
        <v>Missouri Baptist College</v>
      </c>
      <c r="I1004" s="3" t="str">
        <f t="shared" ca="1" si="2"/>
        <v>'Missouri Baptist College',</v>
      </c>
    </row>
    <row r="1005" spans="1:9">
      <c r="A1005" s="1" t="s">
        <v>1003</v>
      </c>
      <c r="B1005" s="3" t="str">
        <f ca="1">IFERROR(__xludf.DUMMYFUNCTION("SPLIT(A1005,"","")"),"US")</f>
        <v>US</v>
      </c>
      <c r="C1005" s="3" t="str">
        <f ca="1">IFERROR(__xludf.DUMMYFUNCTION("""COMPUTED_VALUE"""),"Missouri Southern State College")</f>
        <v>Missouri Southern State College</v>
      </c>
      <c r="D1005" s="4" t="str">
        <f ca="1">IFERROR(__xludf.DUMMYFUNCTION("""COMPUTED_VALUE"""),"http://www.mssc.edu/")</f>
        <v>http://www.mssc.edu/</v>
      </c>
      <c r="G1005" s="2" t="str">
        <f t="shared" ca="1" si="0"/>
        <v>Missouri Southern State College</v>
      </c>
      <c r="H1005" s="5" t="str">
        <f t="shared" ca="1" si="1"/>
        <v>Missouri Southern State College</v>
      </c>
      <c r="I1005" s="3" t="str">
        <f t="shared" ca="1" si="2"/>
        <v>'Missouri Southern State College',</v>
      </c>
    </row>
    <row r="1006" spans="1:9">
      <c r="A1006" s="1" t="s">
        <v>1004</v>
      </c>
      <c r="B1006" s="3" t="str">
        <f ca="1">IFERROR(__xludf.DUMMYFUNCTION("SPLIT(A1006,"","")"),"US")</f>
        <v>US</v>
      </c>
      <c r="C1006" s="3" t="str">
        <f ca="1">IFERROR(__xludf.DUMMYFUNCTION("""COMPUTED_VALUE"""),"Missouri Tech")</f>
        <v>Missouri Tech</v>
      </c>
      <c r="D1006" s="4" t="str">
        <f ca="1">IFERROR(__xludf.DUMMYFUNCTION("""COMPUTED_VALUE"""),"http://www.motech.edu/")</f>
        <v>http://www.motech.edu/</v>
      </c>
      <c r="G1006" s="2" t="str">
        <f t="shared" ca="1" si="0"/>
        <v>Missouri Tech</v>
      </c>
      <c r="H1006" s="5" t="str">
        <f t="shared" ca="1" si="1"/>
        <v>Missouri Tech</v>
      </c>
      <c r="I1006" s="3" t="str">
        <f t="shared" ca="1" si="2"/>
        <v>'Missouri Tech',</v>
      </c>
    </row>
    <row r="1007" spans="1:9">
      <c r="A1007" s="1" t="s">
        <v>1005</v>
      </c>
      <c r="B1007" s="3" t="str">
        <f ca="1">IFERROR(__xludf.DUMMYFUNCTION("SPLIT(A1007,"","")"),"US")</f>
        <v>US</v>
      </c>
      <c r="C1007" s="3" t="str">
        <f ca="1">IFERROR(__xludf.DUMMYFUNCTION("""COMPUTED_VALUE"""),"Missouri University of Science and Technology")</f>
        <v>Missouri University of Science and Technology</v>
      </c>
      <c r="D1007" s="4" t="str">
        <f ca="1">IFERROR(__xludf.DUMMYFUNCTION("""COMPUTED_VALUE"""),"http://www.mst.edu/")</f>
        <v>http://www.mst.edu/</v>
      </c>
      <c r="G1007" s="2" t="str">
        <f t="shared" ca="1" si="0"/>
        <v>Missouri University of Science and Technology</v>
      </c>
      <c r="H1007" s="5" t="str">
        <f t="shared" ca="1" si="1"/>
        <v>Missouri University of Science and Technology</v>
      </c>
      <c r="I1007" s="3" t="str">
        <f t="shared" ca="1" si="2"/>
        <v>'Missouri University of Science and Technology',</v>
      </c>
    </row>
    <row r="1008" spans="1:9">
      <c r="A1008" s="1" t="s">
        <v>1006</v>
      </c>
      <c r="B1008" s="3" t="str">
        <f ca="1">IFERROR(__xludf.DUMMYFUNCTION("SPLIT(A1008,"","")"),"US")</f>
        <v>US</v>
      </c>
      <c r="C1008" s="3" t="str">
        <f ca="1">IFERROR(__xludf.DUMMYFUNCTION("""COMPUTED_VALUE"""),"Missouri Valley College")</f>
        <v>Missouri Valley College</v>
      </c>
      <c r="D1008" s="4" t="str">
        <f ca="1">IFERROR(__xludf.DUMMYFUNCTION("""COMPUTED_VALUE"""),"http://www.murlin.com/~webfx/mvc/")</f>
        <v>http://www.murlin.com/~webfx/mvc/</v>
      </c>
      <c r="G1008" s="2" t="str">
        <f t="shared" ca="1" si="0"/>
        <v>Missouri Valley College</v>
      </c>
      <c r="H1008" s="5" t="str">
        <f t="shared" ca="1" si="1"/>
        <v>Missouri Valley College</v>
      </c>
      <c r="I1008" s="3" t="str">
        <f t="shared" ca="1" si="2"/>
        <v>'Missouri Valley College',</v>
      </c>
    </row>
    <row r="1009" spans="1:9">
      <c r="A1009" s="1" t="s">
        <v>1007</v>
      </c>
      <c r="B1009" s="3" t="str">
        <f ca="1">IFERROR(__xludf.DUMMYFUNCTION("SPLIT(A1009,"","")"),"US")</f>
        <v>US</v>
      </c>
      <c r="C1009" s="3" t="str">
        <f ca="1">IFERROR(__xludf.DUMMYFUNCTION("""COMPUTED_VALUE"""),"Missouri Western State College")</f>
        <v>Missouri Western State College</v>
      </c>
      <c r="D1009" s="4" t="str">
        <f ca="1">IFERROR(__xludf.DUMMYFUNCTION("""COMPUTED_VALUE"""),"http://www.mwsc.edu/")</f>
        <v>http://www.mwsc.edu/</v>
      </c>
      <c r="G1009" s="2" t="str">
        <f t="shared" ca="1" si="0"/>
        <v>Missouri Western State College</v>
      </c>
      <c r="H1009" s="5" t="str">
        <f t="shared" ca="1" si="1"/>
        <v>Missouri Western State College</v>
      </c>
      <c r="I1009" s="3" t="str">
        <f t="shared" ca="1" si="2"/>
        <v>'Missouri Western State College',</v>
      </c>
    </row>
    <row r="1010" spans="1:9">
      <c r="A1010" s="1" t="s">
        <v>1008</v>
      </c>
      <c r="B1010" s="3" t="str">
        <f ca="1">IFERROR(__xludf.DUMMYFUNCTION("SPLIT(A1010,"","")"),"US")</f>
        <v>US</v>
      </c>
      <c r="C1010" s="3" t="str">
        <f ca="1">IFERROR(__xludf.DUMMYFUNCTION("""COMPUTED_VALUE"""),"Molloy College")</f>
        <v>Molloy College</v>
      </c>
      <c r="D1010" s="4" t="str">
        <f ca="1">IFERROR(__xludf.DUMMYFUNCTION("""COMPUTED_VALUE"""),"http://www.molloy.edu/")</f>
        <v>http://www.molloy.edu/</v>
      </c>
      <c r="G1010" s="2" t="str">
        <f t="shared" ca="1" si="0"/>
        <v>Molloy College</v>
      </c>
      <c r="H1010" s="5" t="str">
        <f t="shared" ca="1" si="1"/>
        <v>Molloy College</v>
      </c>
      <c r="I1010" s="3" t="str">
        <f t="shared" ca="1" si="2"/>
        <v>'Molloy College',</v>
      </c>
    </row>
    <row r="1011" spans="1:9">
      <c r="A1011" s="1" t="s">
        <v>1009</v>
      </c>
      <c r="B1011" s="3" t="str">
        <f ca="1">IFERROR(__xludf.DUMMYFUNCTION("SPLIT(A1011,"","")"),"US")</f>
        <v>US</v>
      </c>
      <c r="C1011" s="3" t="str">
        <f ca="1">IFERROR(__xludf.DUMMYFUNCTION("""COMPUTED_VALUE"""),"Monmouth University")</f>
        <v>Monmouth University</v>
      </c>
      <c r="D1011" s="4" t="str">
        <f ca="1">IFERROR(__xludf.DUMMYFUNCTION("""COMPUTED_VALUE"""),"http://www.monmouth.edu/")</f>
        <v>http://www.monmouth.edu/</v>
      </c>
      <c r="G1011" s="2" t="str">
        <f t="shared" ca="1" si="0"/>
        <v>Monmouth University</v>
      </c>
      <c r="H1011" s="5" t="str">
        <f t="shared" ca="1" si="1"/>
        <v>Monmouth University</v>
      </c>
      <c r="I1011" s="3" t="str">
        <f t="shared" ca="1" si="2"/>
        <v>'Monmouth University',</v>
      </c>
    </row>
    <row r="1012" spans="1:9">
      <c r="A1012" s="1" t="s">
        <v>1010</v>
      </c>
      <c r="B1012" s="3" t="str">
        <f ca="1">IFERROR(__xludf.DUMMYFUNCTION("SPLIT(A1012,"","")"),"US")</f>
        <v>US</v>
      </c>
      <c r="C1012" s="3" t="str">
        <f ca="1">IFERROR(__xludf.DUMMYFUNCTION("""COMPUTED_VALUE"""),"Montana State University")</f>
        <v>Montana State University</v>
      </c>
      <c r="D1012" s="4" t="str">
        <f ca="1">IFERROR(__xludf.DUMMYFUNCTION("""COMPUTED_VALUE"""),"http://www.montana.edu/")</f>
        <v>http://www.montana.edu/</v>
      </c>
      <c r="G1012" s="2" t="str">
        <f t="shared" ca="1" si="0"/>
        <v>Montana State University</v>
      </c>
      <c r="H1012" s="5" t="str">
        <f t="shared" ca="1" si="1"/>
        <v>Montana State University</v>
      </c>
      <c r="I1012" s="3" t="str">
        <f t="shared" ca="1" si="2"/>
        <v>'Montana State University',</v>
      </c>
    </row>
    <row r="1013" spans="1:9">
      <c r="A1013" s="1" t="s">
        <v>1011</v>
      </c>
      <c r="B1013" s="3" t="str">
        <f ca="1">IFERROR(__xludf.DUMMYFUNCTION("SPLIT(A1013,"","")"),"US")</f>
        <v>US</v>
      </c>
      <c r="C1013" s="3" t="str">
        <f ca="1">IFERROR(__xludf.DUMMYFUNCTION("""COMPUTED_VALUE"""),"Montana State University - Billings")</f>
        <v>Montana State University - Billings</v>
      </c>
      <c r="D1013" s="4" t="str">
        <f ca="1">IFERROR(__xludf.DUMMYFUNCTION("""COMPUTED_VALUE"""),"http://www.msubillings.edu/")</f>
        <v>http://www.msubillings.edu/</v>
      </c>
      <c r="G1013" s="2" t="str">
        <f t="shared" ca="1" si="0"/>
        <v>Montana State University - Billings</v>
      </c>
      <c r="H1013" s="5" t="str">
        <f t="shared" ca="1" si="1"/>
        <v>Montana State University - Billings</v>
      </c>
      <c r="I1013" s="3" t="str">
        <f t="shared" ca="1" si="2"/>
        <v>'Montana State University - Billings',</v>
      </c>
    </row>
    <row r="1014" spans="1:9">
      <c r="A1014" s="1" t="s">
        <v>1012</v>
      </c>
      <c r="B1014" s="3" t="str">
        <f ca="1">IFERROR(__xludf.DUMMYFUNCTION("SPLIT(A1014,"","")"),"US")</f>
        <v>US</v>
      </c>
      <c r="C1014" s="3" t="str">
        <f ca="1">IFERROR(__xludf.DUMMYFUNCTION("""COMPUTED_VALUE"""),"Montana State University - Northern")</f>
        <v>Montana State University - Northern</v>
      </c>
      <c r="D1014" s="4" t="str">
        <f ca="1">IFERROR(__xludf.DUMMYFUNCTION("""COMPUTED_VALUE"""),"http://www.msun.edu/")</f>
        <v>http://www.msun.edu/</v>
      </c>
      <c r="G1014" s="2" t="str">
        <f t="shared" ca="1" si="0"/>
        <v>Montana State University - Northern</v>
      </c>
      <c r="H1014" s="5" t="str">
        <f t="shared" ca="1" si="1"/>
        <v>Montana State University - Northern</v>
      </c>
      <c r="I1014" s="3" t="str">
        <f t="shared" ca="1" si="2"/>
        <v>'Montana State University - Northern',</v>
      </c>
    </row>
    <row r="1015" spans="1:9">
      <c r="A1015" s="1" t="s">
        <v>1013</v>
      </c>
      <c r="B1015" s="3" t="str">
        <f ca="1">IFERROR(__xludf.DUMMYFUNCTION("SPLIT(A1015,"","")"),"US")</f>
        <v>US</v>
      </c>
      <c r="C1015" s="3" t="str">
        <f ca="1">IFERROR(__xludf.DUMMYFUNCTION("""COMPUTED_VALUE"""),"Montana Tech")</f>
        <v>Montana Tech</v>
      </c>
      <c r="D1015" s="4" t="str">
        <f ca="1">IFERROR(__xludf.DUMMYFUNCTION("""COMPUTED_VALUE"""),"http://www.mtech.edu/")</f>
        <v>http://www.mtech.edu/</v>
      </c>
      <c r="G1015" s="2" t="str">
        <f t="shared" ca="1" si="0"/>
        <v>Montana Tech</v>
      </c>
      <c r="H1015" s="5" t="str">
        <f t="shared" ca="1" si="1"/>
        <v>Montana Tech</v>
      </c>
      <c r="I1015" s="3" t="str">
        <f t="shared" ca="1" si="2"/>
        <v>'Montana Tech',</v>
      </c>
    </row>
    <row r="1016" spans="1:9">
      <c r="A1016" s="1" t="s">
        <v>1014</v>
      </c>
      <c r="B1016" s="3" t="str">
        <f ca="1">IFERROR(__xludf.DUMMYFUNCTION("SPLIT(A1016,"","")"),"US")</f>
        <v>US</v>
      </c>
      <c r="C1016" s="3" t="str">
        <f ca="1">IFERROR(__xludf.DUMMYFUNCTION("""COMPUTED_VALUE"""),"Montclair State University")</f>
        <v>Montclair State University</v>
      </c>
      <c r="D1016" s="4" t="str">
        <f ca="1">IFERROR(__xludf.DUMMYFUNCTION("""COMPUTED_VALUE"""),"http://www.montclair.edu/")</f>
        <v>http://www.montclair.edu/</v>
      </c>
      <c r="G1016" s="2" t="str">
        <f t="shared" ca="1" si="0"/>
        <v>Montclair State University</v>
      </c>
      <c r="H1016" s="5" t="str">
        <f t="shared" ca="1" si="1"/>
        <v>Montclair State University</v>
      </c>
      <c r="I1016" s="3" t="str">
        <f t="shared" ca="1" si="2"/>
        <v>'Montclair State University',</v>
      </c>
    </row>
    <row r="1017" spans="1:9">
      <c r="A1017" s="1" t="s">
        <v>1015</v>
      </c>
      <c r="B1017" s="3" t="str">
        <f ca="1">IFERROR(__xludf.DUMMYFUNCTION("SPLIT(A1017,"","")"),"US")</f>
        <v>US</v>
      </c>
      <c r="C1017" s="3" t="str">
        <f ca="1">IFERROR(__xludf.DUMMYFUNCTION("""COMPUTED_VALUE"""),"Monterey Institute of International Studies")</f>
        <v>Monterey Institute of International Studies</v>
      </c>
      <c r="D1017" s="4" t="str">
        <f ca="1">IFERROR(__xludf.DUMMYFUNCTION("""COMPUTED_VALUE"""),"http://www.miis.edu/")</f>
        <v>http://www.miis.edu/</v>
      </c>
      <c r="G1017" s="2" t="str">
        <f t="shared" ca="1" si="0"/>
        <v>Monterey Institute of International Studies</v>
      </c>
      <c r="H1017" s="5" t="str">
        <f t="shared" ca="1" si="1"/>
        <v>Monterey Institute of International Studies</v>
      </c>
      <c r="I1017" s="3" t="str">
        <f t="shared" ca="1" si="2"/>
        <v>'Monterey Institute of International Studies',</v>
      </c>
    </row>
    <row r="1018" spans="1:9">
      <c r="A1018" s="1" t="s">
        <v>1016</v>
      </c>
      <c r="B1018" s="3" t="str">
        <f ca="1">IFERROR(__xludf.DUMMYFUNCTION("SPLIT(A1018,"","")"),"US")</f>
        <v>US</v>
      </c>
      <c r="C1018" s="3" t="str">
        <f ca="1">IFERROR(__xludf.DUMMYFUNCTION("""COMPUTED_VALUE"""),"Montreat College")</f>
        <v>Montreat College</v>
      </c>
      <c r="D1018" s="4" t="str">
        <f ca="1">IFERROR(__xludf.DUMMYFUNCTION("""COMPUTED_VALUE"""),"http://www.montreat.edu/")</f>
        <v>http://www.montreat.edu/</v>
      </c>
      <c r="G1018" s="2" t="str">
        <f t="shared" ca="1" si="0"/>
        <v>Montreat College</v>
      </c>
      <c r="H1018" s="5" t="str">
        <f t="shared" ca="1" si="1"/>
        <v>Montreat College</v>
      </c>
      <c r="I1018" s="3" t="str">
        <f t="shared" ca="1" si="2"/>
        <v>'Montreat College',</v>
      </c>
    </row>
    <row r="1019" spans="1:9">
      <c r="A1019" s="1" t="s">
        <v>1017</v>
      </c>
      <c r="B1019" s="3" t="str">
        <f ca="1">IFERROR(__xludf.DUMMYFUNCTION("SPLIT(A1019,"","")"),"US")</f>
        <v>US</v>
      </c>
      <c r="C1019" s="3" t="str">
        <f ca="1">IFERROR(__xludf.DUMMYFUNCTION("""COMPUTED_VALUE"""),"Montserrat College of Art")</f>
        <v>Montserrat College of Art</v>
      </c>
      <c r="D1019" s="4" t="str">
        <f ca="1">IFERROR(__xludf.DUMMYFUNCTION("""COMPUTED_VALUE"""),"http://www.montserrat.edu/")</f>
        <v>http://www.montserrat.edu/</v>
      </c>
      <c r="G1019" s="2" t="str">
        <f t="shared" ca="1" si="0"/>
        <v>Montserrat College of Art</v>
      </c>
      <c r="H1019" s="5" t="str">
        <f t="shared" ca="1" si="1"/>
        <v>Montserrat College of Art</v>
      </c>
      <c r="I1019" s="3" t="str">
        <f t="shared" ca="1" si="2"/>
        <v>'Montserrat College of Art',</v>
      </c>
    </row>
    <row r="1020" spans="1:9">
      <c r="A1020" s="1" t="s">
        <v>1018</v>
      </c>
      <c r="B1020" s="3" t="str">
        <f ca="1">IFERROR(__xludf.DUMMYFUNCTION("SPLIT(A1020,"","")"),"US")</f>
        <v>US</v>
      </c>
      <c r="C1020" s="3" t="str">
        <f ca="1">IFERROR(__xludf.DUMMYFUNCTION("""COMPUTED_VALUE"""),"Moody Bible Institute")</f>
        <v>Moody Bible Institute</v>
      </c>
      <c r="D1020" s="4" t="str">
        <f ca="1">IFERROR(__xludf.DUMMYFUNCTION("""COMPUTED_VALUE"""),"http://www.moody.edu/")</f>
        <v>http://www.moody.edu/</v>
      </c>
      <c r="G1020" s="2" t="str">
        <f t="shared" ca="1" si="0"/>
        <v>Moody Bible Institute</v>
      </c>
      <c r="H1020" s="5" t="str">
        <f t="shared" ca="1" si="1"/>
        <v>Moody Bible Institute</v>
      </c>
      <c r="I1020" s="3" t="str">
        <f t="shared" ca="1" si="2"/>
        <v>'Moody Bible Institute',</v>
      </c>
    </row>
    <row r="1021" spans="1:9">
      <c r="A1021" s="1" t="s">
        <v>1019</v>
      </c>
      <c r="B1021" s="3" t="str">
        <f ca="1">IFERROR(__xludf.DUMMYFUNCTION("SPLIT(A1021,"","")"),"US")</f>
        <v>US</v>
      </c>
      <c r="C1021" s="3" t="str">
        <f ca="1">IFERROR(__xludf.DUMMYFUNCTION("""COMPUTED_VALUE"""),"Moore College of Art and Design")</f>
        <v>Moore College of Art and Design</v>
      </c>
      <c r="D1021" s="4" t="str">
        <f ca="1">IFERROR(__xludf.DUMMYFUNCTION("""COMPUTED_VALUE"""),"http://www.moore.edu/")</f>
        <v>http://www.moore.edu/</v>
      </c>
      <c r="G1021" s="2" t="str">
        <f t="shared" ca="1" si="0"/>
        <v>Moore College of Art and Design</v>
      </c>
      <c r="H1021" s="5" t="str">
        <f t="shared" ca="1" si="1"/>
        <v>Moore College of Art and Design</v>
      </c>
      <c r="I1021" s="3" t="str">
        <f t="shared" ca="1" si="2"/>
        <v>'Moore College of Art and Design',</v>
      </c>
    </row>
    <row r="1022" spans="1:9">
      <c r="A1022" s="1" t="s">
        <v>1020</v>
      </c>
      <c r="B1022" s="3" t="str">
        <f ca="1">IFERROR(__xludf.DUMMYFUNCTION("SPLIT(A1022,"","")"),"US")</f>
        <v>US</v>
      </c>
      <c r="C1022" s="3" t="str">
        <f ca="1">IFERROR(__xludf.DUMMYFUNCTION("""COMPUTED_VALUE"""),"Moorhead State University")</f>
        <v>Moorhead State University</v>
      </c>
      <c r="D1022" s="4" t="str">
        <f ca="1">IFERROR(__xludf.DUMMYFUNCTION("""COMPUTED_VALUE"""),"http://www.moorhead.msus.edu/")</f>
        <v>http://www.moorhead.msus.edu/</v>
      </c>
      <c r="G1022" s="2" t="str">
        <f t="shared" ca="1" si="0"/>
        <v>Moorhead State University</v>
      </c>
      <c r="H1022" s="5" t="str">
        <f t="shared" ca="1" si="1"/>
        <v>Moorhead State University</v>
      </c>
      <c r="I1022" s="3" t="str">
        <f t="shared" ca="1" si="2"/>
        <v>'Moorhead State University',</v>
      </c>
    </row>
    <row r="1023" spans="1:9">
      <c r="A1023" s="1" t="s">
        <v>1021</v>
      </c>
      <c r="B1023" s="3" t="str">
        <f ca="1">IFERROR(__xludf.DUMMYFUNCTION("SPLIT(A1023,"","")"),"US")</f>
        <v>US</v>
      </c>
      <c r="C1023" s="3" t="str">
        <f ca="1">IFERROR(__xludf.DUMMYFUNCTION("""COMPUTED_VALUE"""),"Moraine Valley Community College")</f>
        <v>Moraine Valley Community College</v>
      </c>
      <c r="D1023" s="4" t="str">
        <f ca="1">IFERROR(__xludf.DUMMYFUNCTION("""COMPUTED_VALUE"""),"http://www.morainevalley.edu/")</f>
        <v>http://www.morainevalley.edu/</v>
      </c>
      <c r="G1023" s="2" t="str">
        <f t="shared" ca="1" si="0"/>
        <v>Moraine Valley Community College</v>
      </c>
      <c r="H1023" s="5" t="str">
        <f t="shared" ca="1" si="1"/>
        <v>Moraine Valley Community College</v>
      </c>
      <c r="I1023" s="3" t="str">
        <f t="shared" ca="1" si="2"/>
        <v>'Moraine Valley Community College',</v>
      </c>
    </row>
    <row r="1024" spans="1:9">
      <c r="A1024" s="1" t="s">
        <v>1022</v>
      </c>
      <c r="B1024" s="3" t="str">
        <f ca="1">IFERROR(__xludf.DUMMYFUNCTION("SPLIT(A1024,"","")"),"US")</f>
        <v>US</v>
      </c>
      <c r="C1024" s="3" t="str">
        <f ca="1">IFERROR(__xludf.DUMMYFUNCTION("""COMPUTED_VALUE"""),"Moravian College")</f>
        <v>Moravian College</v>
      </c>
      <c r="D1024" s="4" t="str">
        <f ca="1">IFERROR(__xludf.DUMMYFUNCTION("""COMPUTED_VALUE"""),"http://www.moravian.edu/")</f>
        <v>http://www.moravian.edu/</v>
      </c>
      <c r="G1024" s="2" t="str">
        <f t="shared" ca="1" si="0"/>
        <v>Moravian College</v>
      </c>
      <c r="H1024" s="5" t="str">
        <f t="shared" ca="1" si="1"/>
        <v>Moravian College</v>
      </c>
      <c r="I1024" s="3" t="str">
        <f t="shared" ca="1" si="2"/>
        <v>'Moravian College',</v>
      </c>
    </row>
    <row r="1025" spans="1:9">
      <c r="A1025" s="1" t="s">
        <v>1023</v>
      </c>
      <c r="B1025" s="3" t="str">
        <f ca="1">IFERROR(__xludf.DUMMYFUNCTION("SPLIT(A1025,"","")"),"US")</f>
        <v>US</v>
      </c>
      <c r="C1025" s="3" t="str">
        <f ca="1">IFERROR(__xludf.DUMMYFUNCTION("""COMPUTED_VALUE"""),"Morehead State University")</f>
        <v>Morehead State University</v>
      </c>
      <c r="D1025" s="4" t="str">
        <f ca="1">IFERROR(__xludf.DUMMYFUNCTION("""COMPUTED_VALUE"""),"http://www.morehead-st.edu/")</f>
        <v>http://www.morehead-st.edu/</v>
      </c>
      <c r="G1025" s="2" t="str">
        <f t="shared" ca="1" si="0"/>
        <v>Morehead State University</v>
      </c>
      <c r="H1025" s="5" t="str">
        <f t="shared" ca="1" si="1"/>
        <v>Morehead State University</v>
      </c>
      <c r="I1025" s="3" t="str">
        <f t="shared" ca="1" si="2"/>
        <v>'Morehead State University',</v>
      </c>
    </row>
    <row r="1026" spans="1:9">
      <c r="A1026" s="1" t="s">
        <v>1024</v>
      </c>
      <c r="B1026" s="3" t="str">
        <f ca="1">IFERROR(__xludf.DUMMYFUNCTION("SPLIT(A1026,"","")"),"US")</f>
        <v>US</v>
      </c>
      <c r="C1026" s="3" t="str">
        <f ca="1">IFERROR(__xludf.DUMMYFUNCTION("""COMPUTED_VALUE"""),"Morehouse College")</f>
        <v>Morehouse College</v>
      </c>
      <c r="D1026" s="4" t="str">
        <f ca="1">IFERROR(__xludf.DUMMYFUNCTION("""COMPUTED_VALUE"""),"http://www.morehouse.edu/")</f>
        <v>http://www.morehouse.edu/</v>
      </c>
      <c r="G1026" s="2" t="str">
        <f t="shared" ca="1" si="0"/>
        <v>Morehouse College</v>
      </c>
      <c r="H1026" s="5" t="str">
        <f t="shared" ca="1" si="1"/>
        <v>Morehouse College</v>
      </c>
      <c r="I1026" s="3" t="str">
        <f t="shared" ca="1" si="2"/>
        <v>'Morehouse College',</v>
      </c>
    </row>
    <row r="1027" spans="1:9">
      <c r="A1027" s="1" t="s">
        <v>1025</v>
      </c>
      <c r="B1027" s="3" t="str">
        <f ca="1">IFERROR(__xludf.DUMMYFUNCTION("SPLIT(A1027,"","")"),"US")</f>
        <v>US</v>
      </c>
      <c r="C1027" s="3" t="str">
        <f ca="1">IFERROR(__xludf.DUMMYFUNCTION("""COMPUTED_VALUE"""),"Morehouse School of Medicine")</f>
        <v>Morehouse School of Medicine</v>
      </c>
      <c r="D1027" s="4" t="str">
        <f ca="1">IFERROR(__xludf.DUMMYFUNCTION("""COMPUTED_VALUE"""),"http://www.msm.edu/")</f>
        <v>http://www.msm.edu/</v>
      </c>
      <c r="G1027" s="2" t="str">
        <f t="shared" ca="1" si="0"/>
        <v>Morehouse School of Medicine</v>
      </c>
      <c r="H1027" s="5" t="str">
        <f t="shared" ca="1" si="1"/>
        <v>Morehouse School of Medicine</v>
      </c>
      <c r="I1027" s="3" t="str">
        <f t="shared" ca="1" si="2"/>
        <v>'Morehouse School of Medicine',</v>
      </c>
    </row>
    <row r="1028" spans="1:9">
      <c r="A1028" s="1" t="s">
        <v>1026</v>
      </c>
      <c r="B1028" s="3" t="str">
        <f ca="1">IFERROR(__xludf.DUMMYFUNCTION("SPLIT(A1028,"","")"),"US")</f>
        <v>US</v>
      </c>
      <c r="C1028" s="3" t="str">
        <f ca="1">IFERROR(__xludf.DUMMYFUNCTION("""COMPUTED_VALUE"""),"Morgan State University")</f>
        <v>Morgan State University</v>
      </c>
      <c r="D1028" s="4" t="str">
        <f ca="1">IFERROR(__xludf.DUMMYFUNCTION("""COMPUTED_VALUE"""),"http://www.morgan.edu/")</f>
        <v>http://www.morgan.edu/</v>
      </c>
      <c r="G1028" s="2" t="str">
        <f t="shared" ca="1" si="0"/>
        <v>Morgan State University</v>
      </c>
      <c r="H1028" s="5" t="str">
        <f t="shared" ca="1" si="1"/>
        <v>Morgan State University</v>
      </c>
      <c r="I1028" s="3" t="str">
        <f t="shared" ca="1" si="2"/>
        <v>'Morgan State University',</v>
      </c>
    </row>
    <row r="1029" spans="1:9">
      <c r="A1029" s="1" t="s">
        <v>1027</v>
      </c>
      <c r="B1029" s="3" t="str">
        <f ca="1">IFERROR(__xludf.DUMMYFUNCTION("SPLIT(A1029,"","")"),"US")</f>
        <v>US</v>
      </c>
      <c r="C1029" s="3" t="str">
        <f ca="1">IFERROR(__xludf.DUMMYFUNCTION("""COMPUTED_VALUE"""),"Morningside College")</f>
        <v>Morningside College</v>
      </c>
      <c r="D1029" s="4" t="str">
        <f ca="1">IFERROR(__xludf.DUMMYFUNCTION("""COMPUTED_VALUE"""),"http://www.morningside.edu/")</f>
        <v>http://www.morningside.edu/</v>
      </c>
      <c r="G1029" s="2" t="str">
        <f t="shared" ca="1" si="0"/>
        <v>Morningside College</v>
      </c>
      <c r="H1029" s="5" t="str">
        <f t="shared" ca="1" si="1"/>
        <v>Morningside College</v>
      </c>
      <c r="I1029" s="3" t="str">
        <f t="shared" ca="1" si="2"/>
        <v>'Morningside College',</v>
      </c>
    </row>
    <row r="1030" spans="1:9">
      <c r="A1030" s="1" t="s">
        <v>1028</v>
      </c>
      <c r="B1030" s="3" t="str">
        <f ca="1">IFERROR(__xludf.DUMMYFUNCTION("SPLIT(A1030,"","")"),"US")</f>
        <v>US</v>
      </c>
      <c r="C1030" s="3" t="str">
        <f ca="1">IFERROR(__xludf.DUMMYFUNCTION("""COMPUTED_VALUE"""),"Morris Brown College")</f>
        <v>Morris Brown College</v>
      </c>
      <c r="D1030" s="4" t="str">
        <f ca="1">IFERROR(__xludf.DUMMYFUNCTION("""COMPUTED_VALUE"""),"http://www.morrisbrown.edu/")</f>
        <v>http://www.morrisbrown.edu/</v>
      </c>
      <c r="G1030" s="2" t="str">
        <f t="shared" ca="1" si="0"/>
        <v>Morris Brown College</v>
      </c>
      <c r="H1030" s="5" t="str">
        <f t="shared" ca="1" si="1"/>
        <v>Morris Brown College</v>
      </c>
      <c r="I1030" s="3" t="str">
        <f t="shared" ca="1" si="2"/>
        <v>'Morris Brown College',</v>
      </c>
    </row>
    <row r="1031" spans="1:9">
      <c r="A1031" s="1" t="s">
        <v>1029</v>
      </c>
      <c r="B1031" s="3" t="str">
        <f ca="1">IFERROR(__xludf.DUMMYFUNCTION("SPLIT(A1031,"","")"),"US")</f>
        <v>US</v>
      </c>
      <c r="C1031" s="3" t="str">
        <f ca="1">IFERROR(__xludf.DUMMYFUNCTION("""COMPUTED_VALUE"""),"Morris College")</f>
        <v>Morris College</v>
      </c>
      <c r="D1031" s="4" t="str">
        <f ca="1">IFERROR(__xludf.DUMMYFUNCTION("""COMPUTED_VALUE"""),"http://www.scicu.org/morris/")</f>
        <v>http://www.scicu.org/morris/</v>
      </c>
      <c r="G1031" s="2" t="str">
        <f t="shared" ca="1" si="0"/>
        <v>Morris College</v>
      </c>
      <c r="H1031" s="5" t="str">
        <f t="shared" ca="1" si="1"/>
        <v>Morris College</v>
      </c>
      <c r="I1031" s="3" t="str">
        <f t="shared" ca="1" si="2"/>
        <v>'Morris College',</v>
      </c>
    </row>
    <row r="1032" spans="1:9">
      <c r="A1032" s="1" t="s">
        <v>1030</v>
      </c>
      <c r="B1032" s="3" t="str">
        <f ca="1">IFERROR(__xludf.DUMMYFUNCTION("SPLIT(A1032,"","")"),"US")</f>
        <v>US</v>
      </c>
      <c r="C1032" s="3" t="str">
        <f ca="1">IFERROR(__xludf.DUMMYFUNCTION("""COMPUTED_VALUE"""),"Morrison College")</f>
        <v>Morrison College</v>
      </c>
      <c r="D1032" s="4" t="str">
        <f ca="1">IFERROR(__xludf.DUMMYFUNCTION("""COMPUTED_VALUE"""),"http://www.morrison.neumont.edu/")</f>
        <v>http://www.morrison.neumont.edu/</v>
      </c>
      <c r="G1032" s="2" t="str">
        <f t="shared" ca="1" si="0"/>
        <v>Morrison College</v>
      </c>
      <c r="H1032" s="5" t="str">
        <f t="shared" ca="1" si="1"/>
        <v>Morrison College</v>
      </c>
      <c r="I1032" s="3" t="str">
        <f t="shared" ca="1" si="2"/>
        <v>'Morrison College',</v>
      </c>
    </row>
    <row r="1033" spans="1:9">
      <c r="A1033" s="1" t="s">
        <v>1031</v>
      </c>
      <c r="B1033" s="3" t="str">
        <f ca="1">IFERROR(__xludf.DUMMYFUNCTION("SPLIT(A1033,"","")"),"US")</f>
        <v>US</v>
      </c>
      <c r="C1033" s="3" t="str">
        <f ca="1">IFERROR(__xludf.DUMMYFUNCTION("""COMPUTED_VALUE"""),"Mountain State University")</f>
        <v>Mountain State University</v>
      </c>
      <c r="D1033" s="4" t="str">
        <f ca="1">IFERROR(__xludf.DUMMYFUNCTION("""COMPUTED_VALUE"""),"http://www.mountainstate.edu/")</f>
        <v>http://www.mountainstate.edu/</v>
      </c>
      <c r="G1033" s="2" t="str">
        <f t="shared" ca="1" si="0"/>
        <v>Mountain State University</v>
      </c>
      <c r="H1033" s="5" t="str">
        <f t="shared" ca="1" si="1"/>
        <v>Mountain State University</v>
      </c>
      <c r="I1033" s="3" t="str">
        <f t="shared" ca="1" si="2"/>
        <v>'Mountain State University',</v>
      </c>
    </row>
    <row r="1034" spans="1:9">
      <c r="A1034" s="1" t="s">
        <v>1032</v>
      </c>
      <c r="B1034" s="3" t="str">
        <f ca="1">IFERROR(__xludf.DUMMYFUNCTION("SPLIT(A1034,"","")"),"US")</f>
        <v>US</v>
      </c>
      <c r="C1034" s="3" t="str">
        <f ca="1">IFERROR(__xludf.DUMMYFUNCTION("""COMPUTED_VALUE"""),"Mount Aloysius College")</f>
        <v>Mount Aloysius College</v>
      </c>
      <c r="D1034" s="4" t="str">
        <f ca="1">IFERROR(__xludf.DUMMYFUNCTION("""COMPUTED_VALUE"""),"http://www.mtaloy.edu/")</f>
        <v>http://www.mtaloy.edu/</v>
      </c>
      <c r="G1034" s="2" t="str">
        <f t="shared" ca="1" si="0"/>
        <v>Mount Aloysius College</v>
      </c>
      <c r="H1034" s="5" t="str">
        <f t="shared" ca="1" si="1"/>
        <v>Mount Aloysius College</v>
      </c>
      <c r="I1034" s="3" t="str">
        <f t="shared" ca="1" si="2"/>
        <v>'Mount Aloysius College',</v>
      </c>
    </row>
    <row r="1035" spans="1:9">
      <c r="A1035" s="1" t="s">
        <v>1033</v>
      </c>
      <c r="B1035" s="3" t="str">
        <f ca="1">IFERROR(__xludf.DUMMYFUNCTION("SPLIT(A1035,"","")"),"US")</f>
        <v>US</v>
      </c>
      <c r="C1035" s="3" t="str">
        <f ca="1">IFERROR(__xludf.DUMMYFUNCTION("""COMPUTED_VALUE"""),"Mount Carmel College of Nursing")</f>
        <v>Mount Carmel College of Nursing</v>
      </c>
      <c r="D1035" s="4" t="str">
        <f ca="1">IFERROR(__xludf.DUMMYFUNCTION("""COMPUTED_VALUE"""),"http://www.mccn.edu/")</f>
        <v>http://www.mccn.edu/</v>
      </c>
      <c r="G1035" s="2" t="str">
        <f t="shared" ca="1" si="0"/>
        <v>Mount Carmel College of Nursing</v>
      </c>
      <c r="H1035" s="5" t="str">
        <f t="shared" ca="1" si="1"/>
        <v>Mount Carmel College of Nursing</v>
      </c>
      <c r="I1035" s="3" t="str">
        <f t="shared" ca="1" si="2"/>
        <v>'Mount Carmel College of Nursing',</v>
      </c>
    </row>
    <row r="1036" spans="1:9">
      <c r="A1036" s="1" t="s">
        <v>1034</v>
      </c>
      <c r="B1036" s="3" t="str">
        <f ca="1">IFERROR(__xludf.DUMMYFUNCTION("SPLIT(A1036,"","")"),"US")</f>
        <v>US</v>
      </c>
      <c r="C1036" s="3" t="str">
        <f ca="1">IFERROR(__xludf.DUMMYFUNCTION("""COMPUTED_VALUE"""),"Mount Holyoke College")</f>
        <v>Mount Holyoke College</v>
      </c>
      <c r="D1036" s="4" t="str">
        <f ca="1">IFERROR(__xludf.DUMMYFUNCTION("""COMPUTED_VALUE"""),"http://www.mtholyoke.edu/")</f>
        <v>http://www.mtholyoke.edu/</v>
      </c>
      <c r="G1036" s="2" t="str">
        <f t="shared" ca="1" si="0"/>
        <v>Mount Holyoke College</v>
      </c>
      <c r="H1036" s="5" t="str">
        <f t="shared" ca="1" si="1"/>
        <v>Mount Holyoke College</v>
      </c>
      <c r="I1036" s="3" t="str">
        <f t="shared" ca="1" si="2"/>
        <v>'Mount Holyoke College',</v>
      </c>
    </row>
    <row r="1037" spans="1:9">
      <c r="A1037" s="1" t="s">
        <v>1035</v>
      </c>
      <c r="B1037" s="3" t="str">
        <f ca="1">IFERROR(__xludf.DUMMYFUNCTION("SPLIT(A1037,"","")"),"US")</f>
        <v>US</v>
      </c>
      <c r="C1037" s="3" t="str">
        <f ca="1">IFERROR(__xludf.DUMMYFUNCTION("""COMPUTED_VALUE"""),"Mount Ida College")</f>
        <v>Mount Ida College</v>
      </c>
      <c r="D1037" s="4" t="str">
        <f ca="1">IFERROR(__xludf.DUMMYFUNCTION("""COMPUTED_VALUE"""),"http://www.mountida.edu/")</f>
        <v>http://www.mountida.edu/</v>
      </c>
      <c r="G1037" s="2" t="str">
        <f t="shared" ca="1" si="0"/>
        <v>Mount Ida College</v>
      </c>
      <c r="H1037" s="5" t="str">
        <f t="shared" ca="1" si="1"/>
        <v>Mount Ida College</v>
      </c>
      <c r="I1037" s="3" t="str">
        <f t="shared" ca="1" si="2"/>
        <v>'Mount Ida College',</v>
      </c>
    </row>
    <row r="1038" spans="1:9">
      <c r="A1038" s="1" t="s">
        <v>1036</v>
      </c>
      <c r="B1038" s="3" t="str">
        <f ca="1">IFERROR(__xludf.DUMMYFUNCTION("SPLIT(A1038,"","")"),"US")</f>
        <v>US</v>
      </c>
      <c r="C1038" s="3" t="str">
        <f ca="1">IFERROR(__xludf.DUMMYFUNCTION("""COMPUTED_VALUE"""),"Mount Marty College")</f>
        <v>Mount Marty College</v>
      </c>
      <c r="D1038" s="4" t="str">
        <f ca="1">IFERROR(__xludf.DUMMYFUNCTION("""COMPUTED_VALUE"""),"http://www.mtmc.edu/")</f>
        <v>http://www.mtmc.edu/</v>
      </c>
      <c r="G1038" s="2" t="str">
        <f t="shared" ca="1" si="0"/>
        <v>Mount Marty College</v>
      </c>
      <c r="H1038" s="5" t="str">
        <f t="shared" ca="1" si="1"/>
        <v>Mount Marty College</v>
      </c>
      <c r="I1038" s="3" t="str">
        <f t="shared" ca="1" si="2"/>
        <v>'Mount Marty College',</v>
      </c>
    </row>
    <row r="1039" spans="1:9">
      <c r="A1039" s="1" t="s">
        <v>1037</v>
      </c>
      <c r="B1039" s="3" t="str">
        <f ca="1">IFERROR(__xludf.DUMMYFUNCTION("SPLIT(A1039,"","")"),"US")</f>
        <v>US</v>
      </c>
      <c r="C1039" s="3" t="str">
        <f ca="1">IFERROR(__xludf.DUMMYFUNCTION("""COMPUTED_VALUE"""),"Mount Mary College")</f>
        <v>Mount Mary College</v>
      </c>
      <c r="D1039" s="4" t="str">
        <f ca="1">IFERROR(__xludf.DUMMYFUNCTION("""COMPUTED_VALUE"""),"http://www.mtmary.edu/")</f>
        <v>http://www.mtmary.edu/</v>
      </c>
      <c r="G1039" s="2" t="str">
        <f t="shared" ca="1" si="0"/>
        <v>Mount Mary College</v>
      </c>
      <c r="H1039" s="5" t="str">
        <f t="shared" ca="1" si="1"/>
        <v>Mount Mary College</v>
      </c>
      <c r="I1039" s="3" t="str">
        <f t="shared" ca="1" si="2"/>
        <v>'Mount Mary College',</v>
      </c>
    </row>
    <row r="1040" spans="1:9">
      <c r="A1040" s="1" t="s">
        <v>1038</v>
      </c>
      <c r="B1040" s="3" t="str">
        <f ca="1">IFERROR(__xludf.DUMMYFUNCTION("SPLIT(A1040,"","")"),"US")</f>
        <v>US</v>
      </c>
      <c r="C1040" s="3" t="str">
        <f ca="1">IFERROR(__xludf.DUMMYFUNCTION("""COMPUTED_VALUE"""),"Mount Mercy College")</f>
        <v>Mount Mercy College</v>
      </c>
      <c r="D1040" s="4" t="str">
        <f ca="1">IFERROR(__xludf.DUMMYFUNCTION("""COMPUTED_VALUE"""),"http://www.mtmercy.edu/")</f>
        <v>http://www.mtmercy.edu/</v>
      </c>
      <c r="G1040" s="2" t="str">
        <f t="shared" ca="1" si="0"/>
        <v>Mount Mercy College</v>
      </c>
      <c r="H1040" s="5" t="str">
        <f t="shared" ca="1" si="1"/>
        <v>Mount Mercy College</v>
      </c>
      <c r="I1040" s="3" t="str">
        <f t="shared" ca="1" si="2"/>
        <v>'Mount Mercy College',</v>
      </c>
    </row>
    <row r="1041" spans="1:9">
      <c r="A1041" s="1" t="s">
        <v>1039</v>
      </c>
      <c r="B1041" s="3" t="str">
        <f ca="1">IFERROR(__xludf.DUMMYFUNCTION("SPLIT(A1041,"","")"),"US")</f>
        <v>US</v>
      </c>
      <c r="C1041" s="3" t="str">
        <f ca="1">IFERROR(__xludf.DUMMYFUNCTION("""COMPUTED_VALUE"""),"Mount Olive College")</f>
        <v>Mount Olive College</v>
      </c>
      <c r="D1041" s="4" t="str">
        <f ca="1">IFERROR(__xludf.DUMMYFUNCTION("""COMPUTED_VALUE"""),"http://www.mountolivecollege.edu/")</f>
        <v>http://www.mountolivecollege.edu/</v>
      </c>
      <c r="G1041" s="2" t="str">
        <f t="shared" ca="1" si="0"/>
        <v>Mount Olive College</v>
      </c>
      <c r="H1041" s="5" t="str">
        <f t="shared" ca="1" si="1"/>
        <v>Mount Olive College</v>
      </c>
      <c r="I1041" s="3" t="str">
        <f t="shared" ca="1" si="2"/>
        <v>'Mount Olive College',</v>
      </c>
    </row>
    <row r="1042" spans="1:9">
      <c r="A1042" s="1" t="s">
        <v>1040</v>
      </c>
      <c r="B1042" s="3" t="str">
        <f ca="1">IFERROR(__xludf.DUMMYFUNCTION("SPLIT(A1042,"","")"),"US")</f>
        <v>US</v>
      </c>
      <c r="C1042" s="3" t="str">
        <f ca="1">IFERROR(__xludf.DUMMYFUNCTION("""COMPUTED_VALUE"""),"Mount Senario College")</f>
        <v>Mount Senario College</v>
      </c>
      <c r="D1042" s="4" t="str">
        <f ca="1">IFERROR(__xludf.DUMMYFUNCTION("""COMPUTED_VALUE"""),"http://www.mscfs.edu/")</f>
        <v>http://www.mscfs.edu/</v>
      </c>
      <c r="G1042" s="2" t="str">
        <f t="shared" ca="1" si="0"/>
        <v>Mount Senario College</v>
      </c>
      <c r="H1042" s="5" t="str">
        <f t="shared" ca="1" si="1"/>
        <v>Mount Senario College</v>
      </c>
      <c r="I1042" s="3" t="str">
        <f t="shared" ca="1" si="2"/>
        <v>'Mount Senario College',</v>
      </c>
    </row>
    <row r="1043" spans="1:9">
      <c r="A1043" s="1" t="s">
        <v>1041</v>
      </c>
      <c r="B1043" s="3" t="str">
        <f ca="1">IFERROR(__xludf.DUMMYFUNCTION("SPLIT(A1043,"","")"),"US")</f>
        <v>US</v>
      </c>
      <c r="C1043" s="3" t="str">
        <f ca="1">IFERROR(__xludf.DUMMYFUNCTION("""COMPUTED_VALUE"""),"Mount Sinai School of Medicine")</f>
        <v>Mount Sinai School of Medicine</v>
      </c>
      <c r="D1043" s="4" t="str">
        <f ca="1">IFERROR(__xludf.DUMMYFUNCTION("""COMPUTED_VALUE"""),"http://www.mssm.edu/")</f>
        <v>http://www.mssm.edu/</v>
      </c>
      <c r="G1043" s="2" t="str">
        <f t="shared" ca="1" si="0"/>
        <v>Mount Sinai School of Medicine</v>
      </c>
      <c r="H1043" s="5" t="str">
        <f t="shared" ca="1" si="1"/>
        <v>Mount Sinai School of Medicine</v>
      </c>
      <c r="I1043" s="3" t="str">
        <f t="shared" ca="1" si="2"/>
        <v>'Mount Sinai School of Medicine',</v>
      </c>
    </row>
    <row r="1044" spans="1:9">
      <c r="A1044" s="1" t="s">
        <v>1042</v>
      </c>
      <c r="B1044" s="3" t="str">
        <f ca="1">IFERROR(__xludf.DUMMYFUNCTION("SPLIT(A1044,"","")"),"US")</f>
        <v>US</v>
      </c>
      <c r="C1044" s="3" t="str">
        <f ca="1">IFERROR(__xludf.DUMMYFUNCTION("""COMPUTED_VALUE"""),"Mount St. Clare College")</f>
        <v>Mount St. Clare College</v>
      </c>
      <c r="D1044" s="4" t="str">
        <f ca="1">IFERROR(__xludf.DUMMYFUNCTION("""COMPUTED_VALUE"""),"http://www.clare.edu/")</f>
        <v>http://www.clare.edu/</v>
      </c>
      <c r="G1044" s="2" t="str">
        <f t="shared" ca="1" si="0"/>
        <v>Mount St. Clare College</v>
      </c>
      <c r="H1044" s="5" t="str">
        <f t="shared" ca="1" si="1"/>
        <v>Mount St. Clare College</v>
      </c>
      <c r="I1044" s="3" t="str">
        <f t="shared" ca="1" si="2"/>
        <v>'Mount St. Clare College',</v>
      </c>
    </row>
    <row r="1045" spans="1:9">
      <c r="A1045" s="1" t="s">
        <v>1043</v>
      </c>
      <c r="B1045" s="3" t="str">
        <f ca="1">IFERROR(__xludf.DUMMYFUNCTION("SPLIT(A1045,"","")"),"US")</f>
        <v>US</v>
      </c>
      <c r="C1045" s="3" t="str">
        <f ca="1">IFERROR(__xludf.DUMMYFUNCTION("""COMPUTED_VALUE"""),"Mount St. Mary College")</f>
        <v>Mount St. Mary College</v>
      </c>
      <c r="D1045" s="4" t="str">
        <f ca="1">IFERROR(__xludf.DUMMYFUNCTION("""COMPUTED_VALUE"""),"http://www.msmc.edu/")</f>
        <v>http://www.msmc.edu/</v>
      </c>
      <c r="G1045" s="2" t="str">
        <f t="shared" ca="1" si="0"/>
        <v>Mount St. Mary College</v>
      </c>
      <c r="H1045" s="5" t="str">
        <f t="shared" ca="1" si="1"/>
        <v>Mount St. Mary College</v>
      </c>
      <c r="I1045" s="3" t="str">
        <f t="shared" ca="1" si="2"/>
        <v>'Mount St. Mary College',</v>
      </c>
    </row>
    <row r="1046" spans="1:9">
      <c r="A1046" s="1" t="s">
        <v>1044</v>
      </c>
      <c r="B1046" s="3" t="str">
        <f ca="1">IFERROR(__xludf.DUMMYFUNCTION("SPLIT(A1046,"","")"),"US")</f>
        <v>US</v>
      </c>
      <c r="C1046" s="3" t="str">
        <f ca="1">IFERROR(__xludf.DUMMYFUNCTION("""COMPUTED_VALUE"""),"Mount St. Mary's College California")</f>
        <v>Mount St. Mary's College California</v>
      </c>
      <c r="D1046" s="4" t="str">
        <f ca="1">IFERROR(__xludf.DUMMYFUNCTION("""COMPUTED_VALUE"""),"http://www.msmc.la.edu/")</f>
        <v>http://www.msmc.la.edu/</v>
      </c>
      <c r="G1046" s="2" t="str">
        <f t="shared" ca="1" si="0"/>
        <v>Mount St. Mary's College California</v>
      </c>
      <c r="H1046" s="5" t="str">
        <f t="shared" ca="1" si="1"/>
        <v>Mount St. Mary's College California</v>
      </c>
      <c r="I1046" s="3" t="str">
        <f t="shared" ca="1" si="2"/>
        <v>'Mount St. Mary's College California',</v>
      </c>
    </row>
    <row r="1047" spans="1:9">
      <c r="A1047" s="1" t="s">
        <v>1045</v>
      </c>
      <c r="B1047" s="3" t="str">
        <f ca="1">IFERROR(__xludf.DUMMYFUNCTION("SPLIT(A1047,"","")"),"US")</f>
        <v>US</v>
      </c>
      <c r="C1047" s="3" t="str">
        <f ca="1">IFERROR(__xludf.DUMMYFUNCTION("""COMPUTED_VALUE"""),"Mount St. Mary's College Maryland")</f>
        <v>Mount St. Mary's College Maryland</v>
      </c>
      <c r="D1047" s="4" t="str">
        <f ca="1">IFERROR(__xludf.DUMMYFUNCTION("""COMPUTED_VALUE"""),"http://www.msmary.edu/")</f>
        <v>http://www.msmary.edu/</v>
      </c>
      <c r="G1047" s="2" t="str">
        <f t="shared" ca="1" si="0"/>
        <v>Mount St. Mary's College Maryland</v>
      </c>
      <c r="H1047" s="5" t="str">
        <f t="shared" ca="1" si="1"/>
        <v>Mount St. Mary's College Maryland</v>
      </c>
      <c r="I1047" s="3" t="str">
        <f t="shared" ca="1" si="2"/>
        <v>'Mount St. Mary's College Maryland',</v>
      </c>
    </row>
    <row r="1048" spans="1:9">
      <c r="A1048" s="1" t="s">
        <v>1046</v>
      </c>
      <c r="B1048" s="3" t="str">
        <f ca="1">IFERROR(__xludf.DUMMYFUNCTION("SPLIT(A1048,"","")"),"US")</f>
        <v>US</v>
      </c>
      <c r="C1048" s="3" t="str">
        <f ca="1">IFERROR(__xludf.DUMMYFUNCTION("""COMPUTED_VALUE"""),"Mount Union College")</f>
        <v>Mount Union College</v>
      </c>
      <c r="D1048" s="4" t="str">
        <f ca="1">IFERROR(__xludf.DUMMYFUNCTION("""COMPUTED_VALUE"""),"http://www.mountunion.edu/")</f>
        <v>http://www.mountunion.edu/</v>
      </c>
      <c r="G1048" s="2" t="str">
        <f t="shared" ca="1" si="0"/>
        <v>Mount Union College</v>
      </c>
      <c r="H1048" s="5" t="str">
        <f t="shared" ca="1" si="1"/>
        <v>Mount Union College</v>
      </c>
      <c r="I1048" s="3" t="str">
        <f t="shared" ca="1" si="2"/>
        <v>'Mount Union College',</v>
      </c>
    </row>
    <row r="1049" spans="1:9">
      <c r="A1049" s="1" t="s">
        <v>1047</v>
      </c>
      <c r="B1049" s="3" t="str">
        <f ca="1">IFERROR(__xludf.DUMMYFUNCTION("SPLIT(A1049,"","")"),"US")</f>
        <v>US</v>
      </c>
      <c r="C1049" s="3" t="str">
        <f ca="1">IFERROR(__xludf.DUMMYFUNCTION("""COMPUTED_VALUE"""),"Mount Vernon College")</f>
        <v>Mount Vernon College</v>
      </c>
      <c r="D1049" s="4" t="str">
        <f ca="1">IFERROR(__xludf.DUMMYFUNCTION("""COMPUTED_VALUE"""),"http://www.gwu.edu/~mvcgw/")</f>
        <v>http://www.gwu.edu/~mvcgw/</v>
      </c>
      <c r="G1049" s="2" t="str">
        <f t="shared" ca="1" si="0"/>
        <v>Mount Vernon College</v>
      </c>
      <c r="H1049" s="5" t="str">
        <f t="shared" ca="1" si="1"/>
        <v>Mount Vernon College</v>
      </c>
      <c r="I1049" s="3" t="str">
        <f t="shared" ca="1" si="2"/>
        <v>'Mount Vernon College',</v>
      </c>
    </row>
    <row r="1050" spans="1:9">
      <c r="A1050" s="1" t="s">
        <v>1048</v>
      </c>
      <c r="B1050" s="3" t="str">
        <f ca="1">IFERROR(__xludf.DUMMYFUNCTION("SPLIT(A1050,"","")"),"US")</f>
        <v>US</v>
      </c>
      <c r="C1050" s="3" t="str">
        <f ca="1">IFERROR(__xludf.DUMMYFUNCTION("""COMPUTED_VALUE"""),"Mount Vernon Nazarene College")</f>
        <v>Mount Vernon Nazarene College</v>
      </c>
      <c r="D1050" s="4" t="str">
        <f ca="1">IFERROR(__xludf.DUMMYFUNCTION("""COMPUTED_VALUE"""),"http://www.mvnc.edu/")</f>
        <v>http://www.mvnc.edu/</v>
      </c>
      <c r="G1050" s="2" t="str">
        <f t="shared" ca="1" si="0"/>
        <v>Mount Vernon Nazarene College</v>
      </c>
      <c r="H1050" s="5" t="str">
        <f t="shared" ca="1" si="1"/>
        <v>Mount Vernon Nazarene College</v>
      </c>
      <c r="I1050" s="3" t="str">
        <f t="shared" ca="1" si="2"/>
        <v>'Mount Vernon Nazarene College',</v>
      </c>
    </row>
    <row r="1051" spans="1:9">
      <c r="A1051" s="1" t="s">
        <v>1049</v>
      </c>
      <c r="B1051" s="3" t="str">
        <f ca="1">IFERROR(__xludf.DUMMYFUNCTION("SPLIT(A1051,"","")"),"US")</f>
        <v>US</v>
      </c>
      <c r="C1051" s="3" t="str">
        <f ca="1">IFERROR(__xludf.DUMMYFUNCTION("""COMPUTED_VALUE"""),"Muhlenberg College")</f>
        <v>Muhlenberg College</v>
      </c>
      <c r="D1051" s="4" t="str">
        <f ca="1">IFERROR(__xludf.DUMMYFUNCTION("""COMPUTED_VALUE"""),"http://www.muhlberg.edu/")</f>
        <v>http://www.muhlberg.edu/</v>
      </c>
      <c r="G1051" s="2" t="str">
        <f t="shared" ca="1" si="0"/>
        <v>Muhlenberg College</v>
      </c>
      <c r="H1051" s="5" t="str">
        <f t="shared" ca="1" si="1"/>
        <v>Muhlenberg College</v>
      </c>
      <c r="I1051" s="3" t="str">
        <f t="shared" ca="1" si="2"/>
        <v>'Muhlenberg College',</v>
      </c>
    </row>
    <row r="1052" spans="1:9">
      <c r="A1052" s="1" t="s">
        <v>1050</v>
      </c>
      <c r="B1052" s="3" t="str">
        <f ca="1">IFERROR(__xludf.DUMMYFUNCTION("SPLIT(A1052,"","")"),"US")</f>
        <v>US</v>
      </c>
      <c r="C1052" s="3" t="str">
        <f ca="1">IFERROR(__xludf.DUMMYFUNCTION("""COMPUTED_VALUE"""),"Multnomah Bible College")</f>
        <v>Multnomah Bible College</v>
      </c>
      <c r="D1052" s="4" t="str">
        <f ca="1">IFERROR(__xludf.DUMMYFUNCTION("""COMPUTED_VALUE"""),"http://www.multnomah.edu/")</f>
        <v>http://www.multnomah.edu/</v>
      </c>
      <c r="G1052" s="2" t="str">
        <f t="shared" ca="1" si="0"/>
        <v>Multnomah Bible College</v>
      </c>
      <c r="H1052" s="5" t="str">
        <f t="shared" ca="1" si="1"/>
        <v>Multnomah Bible College</v>
      </c>
      <c r="I1052" s="3" t="str">
        <f t="shared" ca="1" si="2"/>
        <v>'Multnomah Bible College',</v>
      </c>
    </row>
    <row r="1053" spans="1:9">
      <c r="A1053" s="1" t="s">
        <v>1051</v>
      </c>
      <c r="B1053" s="3" t="str">
        <f ca="1">IFERROR(__xludf.DUMMYFUNCTION("SPLIT(A1053,"","")"),"US")</f>
        <v>US</v>
      </c>
      <c r="C1053" s="3" t="str">
        <f ca="1">IFERROR(__xludf.DUMMYFUNCTION("""COMPUTED_VALUE"""),"Murray State University")</f>
        <v>Murray State University</v>
      </c>
      <c r="D1053" s="4" t="str">
        <f ca="1">IFERROR(__xludf.DUMMYFUNCTION("""COMPUTED_VALUE"""),"http://www.mursuky.edu/")</f>
        <v>http://www.mursuky.edu/</v>
      </c>
      <c r="G1053" s="2" t="str">
        <f t="shared" ca="1" si="0"/>
        <v>Murray State University</v>
      </c>
      <c r="H1053" s="5" t="str">
        <f t="shared" ca="1" si="1"/>
        <v>Murray State University</v>
      </c>
      <c r="I1053" s="3" t="str">
        <f t="shared" ca="1" si="2"/>
        <v>'Murray State University',</v>
      </c>
    </row>
    <row r="1054" spans="1:9">
      <c r="A1054" s="1" t="s">
        <v>1052</v>
      </c>
      <c r="B1054" s="3" t="str">
        <f ca="1">IFERROR(__xludf.DUMMYFUNCTION("SPLIT(A1054,"","")"),"US")</f>
        <v>US</v>
      </c>
      <c r="C1054" s="3" t="str">
        <f ca="1">IFERROR(__xludf.DUMMYFUNCTION("""COMPUTED_VALUE"""),"Muskingum College")</f>
        <v>Muskingum College</v>
      </c>
      <c r="D1054" s="4" t="str">
        <f ca="1">IFERROR(__xludf.DUMMYFUNCTION("""COMPUTED_VALUE"""),"http://www.muskingum.edu/")</f>
        <v>http://www.muskingum.edu/</v>
      </c>
      <c r="G1054" s="2" t="str">
        <f t="shared" ca="1" si="0"/>
        <v>Muskingum College</v>
      </c>
      <c r="H1054" s="5" t="str">
        <f t="shared" ca="1" si="1"/>
        <v>Muskingum College</v>
      </c>
      <c r="I1054" s="3" t="str">
        <f t="shared" ca="1" si="2"/>
        <v>'Muskingum College',</v>
      </c>
    </row>
    <row r="1055" spans="1:9">
      <c r="A1055" s="1" t="s">
        <v>1053</v>
      </c>
      <c r="B1055" s="3" t="str">
        <f ca="1">IFERROR(__xludf.DUMMYFUNCTION("SPLIT(A1055,"","")"),"US")</f>
        <v>US</v>
      </c>
      <c r="C1055" s="3" t="str">
        <f ca="1">IFERROR(__xludf.DUMMYFUNCTION("""COMPUTED_VALUE"""),"NAES College")</f>
        <v>NAES College</v>
      </c>
      <c r="D1055" s="4" t="str">
        <f ca="1">IFERROR(__xludf.DUMMYFUNCTION("""COMPUTED_VALUE"""),"http://www.naes.indian.com/")</f>
        <v>http://www.naes.indian.com/</v>
      </c>
      <c r="G1055" s="2" t="str">
        <f t="shared" ca="1" si="0"/>
        <v>NAES College</v>
      </c>
      <c r="H1055" s="5" t="str">
        <f t="shared" ca="1" si="1"/>
        <v>NAES College</v>
      </c>
      <c r="I1055" s="3" t="str">
        <f t="shared" ca="1" si="2"/>
        <v>'NAES College',</v>
      </c>
    </row>
    <row r="1056" spans="1:9">
      <c r="A1056" s="1" t="s">
        <v>1054</v>
      </c>
      <c r="B1056" s="3" t="str">
        <f ca="1">IFERROR(__xludf.DUMMYFUNCTION("SPLIT(A1056,"","")"),"US")</f>
        <v>US</v>
      </c>
      <c r="C1056" s="3" t="str">
        <f ca="1">IFERROR(__xludf.DUMMYFUNCTION("""COMPUTED_VALUE"""),"National American University")</f>
        <v>National American University</v>
      </c>
      <c r="D1056" s="4" t="str">
        <f ca="1">IFERROR(__xludf.DUMMYFUNCTION("""COMPUTED_VALUE"""),"http://www.national.edu/")</f>
        <v>http://www.national.edu/</v>
      </c>
      <c r="G1056" s="2" t="str">
        <f t="shared" ca="1" si="0"/>
        <v>National American University</v>
      </c>
      <c r="H1056" s="5" t="str">
        <f t="shared" ca="1" si="1"/>
        <v>National American University</v>
      </c>
      <c r="I1056" s="3" t="str">
        <f t="shared" ca="1" si="2"/>
        <v>'National American University',</v>
      </c>
    </row>
    <row r="1057" spans="1:9">
      <c r="A1057" s="1" t="s">
        <v>1055</v>
      </c>
      <c r="B1057" s="3" t="str">
        <f ca="1">IFERROR(__xludf.DUMMYFUNCTION("SPLIT(A1057,"","")"),"US")</f>
        <v>US</v>
      </c>
      <c r="C1057" s="3" t="str">
        <f ca="1">IFERROR(__xludf.DUMMYFUNCTION("""COMPUTED_VALUE"""),"""National American University")</f>
        <v>"National American University</v>
      </c>
      <c r="D1057" s="3" t="str">
        <f ca="1">IFERROR(__xludf.DUMMYFUNCTION("""COMPUTED_VALUE""")," Albuquerque""")</f>
        <v xml:space="preserve"> Albuquerque"</v>
      </c>
      <c r="E1057" s="4" t="str">
        <f ca="1">IFERROR(__xludf.DUMMYFUNCTION("""COMPUTED_VALUE"""),"http://www.national.edu/albuquerque.html")</f>
        <v>http://www.national.edu/albuquerque.html</v>
      </c>
      <c r="G1057" s="2" t="str">
        <f t="shared" ca="1" si="0"/>
        <v>"National American University</v>
      </c>
      <c r="H1057" s="5" t="str">
        <f t="shared" ca="1" si="1"/>
        <v>National American University</v>
      </c>
      <c r="I1057" s="3" t="str">
        <f t="shared" ca="1" si="2"/>
        <v>'National American University',</v>
      </c>
    </row>
    <row r="1058" spans="1:9">
      <c r="A1058" s="1" t="s">
        <v>1056</v>
      </c>
      <c r="B1058" s="3" t="str">
        <f ca="1">IFERROR(__xludf.DUMMYFUNCTION("SPLIT(A1058,"","")"),"US")</f>
        <v>US</v>
      </c>
      <c r="C1058" s="3" t="str">
        <f ca="1">IFERROR(__xludf.DUMMYFUNCTION("""COMPUTED_VALUE"""),"""National American University")</f>
        <v>"National American University</v>
      </c>
      <c r="D1058" s="3" t="str">
        <f ca="1">IFERROR(__xludf.DUMMYFUNCTION("""COMPUTED_VALUE""")," Colorado Springs""")</f>
        <v xml:space="preserve"> Colorado Springs"</v>
      </c>
      <c r="E1058" s="4" t="str">
        <f ca="1">IFERROR(__xludf.DUMMYFUNCTION("""COMPUTED_VALUE"""),"http://www.national.edu/col_springs.html")</f>
        <v>http://www.national.edu/col_springs.html</v>
      </c>
      <c r="G1058" s="2" t="str">
        <f t="shared" ca="1" si="0"/>
        <v>"National American University</v>
      </c>
      <c r="H1058" s="5" t="str">
        <f t="shared" ca="1" si="1"/>
        <v>National American University</v>
      </c>
      <c r="I1058" s="3" t="str">
        <f t="shared" ca="1" si="2"/>
        <v>'National American University',</v>
      </c>
    </row>
    <row r="1059" spans="1:9">
      <c r="A1059" s="1" t="s">
        <v>1057</v>
      </c>
      <c r="B1059" s="3" t="str">
        <f ca="1">IFERROR(__xludf.DUMMYFUNCTION("SPLIT(A1059,"","")"),"US")</f>
        <v>US</v>
      </c>
      <c r="C1059" s="3" t="str">
        <f ca="1">IFERROR(__xludf.DUMMYFUNCTION("""COMPUTED_VALUE"""),"""National American University")</f>
        <v>"National American University</v>
      </c>
      <c r="D1059" s="3" t="str">
        <f ca="1">IFERROR(__xludf.DUMMYFUNCTION("""COMPUTED_VALUE""")," Denver""")</f>
        <v xml:space="preserve"> Denver"</v>
      </c>
      <c r="E1059" s="4" t="str">
        <f ca="1">IFERROR(__xludf.DUMMYFUNCTION("""COMPUTED_VALUE"""),"http://www.national.edu/denver.html")</f>
        <v>http://www.national.edu/denver.html</v>
      </c>
      <c r="G1059" s="2" t="str">
        <f t="shared" ca="1" si="0"/>
        <v>"National American University</v>
      </c>
      <c r="H1059" s="5" t="str">
        <f t="shared" ca="1" si="1"/>
        <v>National American University</v>
      </c>
      <c r="I1059" s="3" t="str">
        <f t="shared" ca="1" si="2"/>
        <v>'National American University',</v>
      </c>
    </row>
    <row r="1060" spans="1:9">
      <c r="A1060" s="1" t="s">
        <v>1058</v>
      </c>
      <c r="B1060" s="3" t="str">
        <f ca="1">IFERROR(__xludf.DUMMYFUNCTION("SPLIT(A1060,"","")"),"US")</f>
        <v>US</v>
      </c>
      <c r="C1060" s="3" t="str">
        <f ca="1">IFERROR(__xludf.DUMMYFUNCTION("""COMPUTED_VALUE"""),"""National American University")</f>
        <v>"National American University</v>
      </c>
      <c r="D1060" s="3" t="str">
        <f ca="1">IFERROR(__xludf.DUMMYFUNCTION("""COMPUTED_VALUE""")," Kansas City""")</f>
        <v xml:space="preserve"> Kansas City"</v>
      </c>
      <c r="E1060" s="4" t="str">
        <f ca="1">IFERROR(__xludf.DUMMYFUNCTION("""COMPUTED_VALUE"""),"http://www.national.edu/kansas_city.html")</f>
        <v>http://www.national.edu/kansas_city.html</v>
      </c>
      <c r="G1060" s="2" t="str">
        <f t="shared" ca="1" si="0"/>
        <v>"National American University</v>
      </c>
      <c r="H1060" s="5" t="str">
        <f t="shared" ca="1" si="1"/>
        <v>National American University</v>
      </c>
      <c r="I1060" s="3" t="str">
        <f t="shared" ca="1" si="2"/>
        <v>'National American University',</v>
      </c>
    </row>
    <row r="1061" spans="1:9">
      <c r="A1061" s="1" t="s">
        <v>1059</v>
      </c>
      <c r="B1061" s="3" t="str">
        <f ca="1">IFERROR(__xludf.DUMMYFUNCTION("SPLIT(A1061,"","")"),"US")</f>
        <v>US</v>
      </c>
      <c r="C1061" s="3" t="str">
        <f ca="1">IFERROR(__xludf.DUMMYFUNCTION("""COMPUTED_VALUE"""),"""National American University")</f>
        <v>"National American University</v>
      </c>
      <c r="D1061" s="3" t="str">
        <f ca="1">IFERROR(__xludf.DUMMYFUNCTION("""COMPUTED_VALUE""")," Roseville""")</f>
        <v xml:space="preserve"> Roseville"</v>
      </c>
      <c r="E1061" s="4" t="str">
        <f ca="1">IFERROR(__xludf.DUMMYFUNCTION("""COMPUTED_VALUE"""),"http://www.national.edu/roseville.html")</f>
        <v>http://www.national.edu/roseville.html</v>
      </c>
      <c r="G1061" s="2" t="str">
        <f t="shared" ca="1" si="0"/>
        <v>"National American University</v>
      </c>
      <c r="H1061" s="5" t="str">
        <f t="shared" ca="1" si="1"/>
        <v>National American University</v>
      </c>
      <c r="I1061" s="3" t="str">
        <f t="shared" ca="1" si="2"/>
        <v>'National American University',</v>
      </c>
    </row>
    <row r="1062" spans="1:9">
      <c r="A1062" s="1" t="s">
        <v>1060</v>
      </c>
      <c r="B1062" s="3" t="str">
        <f ca="1">IFERROR(__xludf.DUMMYFUNCTION("SPLIT(A1062,"","")"),"US")</f>
        <v>US</v>
      </c>
      <c r="C1062" s="3" t="str">
        <f ca="1">IFERROR(__xludf.DUMMYFUNCTION("""COMPUTED_VALUE"""),"""National American University")</f>
        <v>"National American University</v>
      </c>
      <c r="D1062" s="3" t="str">
        <f ca="1">IFERROR(__xludf.DUMMYFUNCTION("""COMPUTED_VALUE""")," Sioux Falls""")</f>
        <v xml:space="preserve"> Sioux Falls"</v>
      </c>
      <c r="E1062" s="4" t="str">
        <f ca="1">IFERROR(__xludf.DUMMYFUNCTION("""COMPUTED_VALUE"""),"http://www.national.edu/sioux_falls.html")</f>
        <v>http://www.national.edu/sioux_falls.html</v>
      </c>
      <c r="G1062" s="2" t="str">
        <f t="shared" ca="1" si="0"/>
        <v>"National American University</v>
      </c>
      <c r="H1062" s="5" t="str">
        <f t="shared" ca="1" si="1"/>
        <v>National American University</v>
      </c>
      <c r="I1062" s="3" t="str">
        <f t="shared" ca="1" si="2"/>
        <v>'National American University',</v>
      </c>
    </row>
    <row r="1063" spans="1:9">
      <c r="A1063" s="1" t="s">
        <v>1061</v>
      </c>
      <c r="B1063" s="3" t="str">
        <f ca="1">IFERROR(__xludf.DUMMYFUNCTION("SPLIT(A1063,"","")"),"US")</f>
        <v>US</v>
      </c>
      <c r="C1063" s="3" t="str">
        <f ca="1">IFERROR(__xludf.DUMMYFUNCTION("""COMPUTED_VALUE"""),"National College of Chiropractic")</f>
        <v>National College of Chiropractic</v>
      </c>
      <c r="D1063" s="4" t="str">
        <f ca="1">IFERROR(__xludf.DUMMYFUNCTION("""COMPUTED_VALUE"""),"http://www.national.chiropractic.edu/")</f>
        <v>http://www.national.chiropractic.edu/</v>
      </c>
      <c r="G1063" s="2" t="str">
        <f t="shared" ca="1" si="0"/>
        <v>National College of Chiropractic</v>
      </c>
      <c r="H1063" s="5" t="str">
        <f t="shared" ca="1" si="1"/>
        <v>National College of Chiropractic</v>
      </c>
      <c r="I1063" s="3" t="str">
        <f t="shared" ca="1" si="2"/>
        <v>'National College of Chiropractic',</v>
      </c>
    </row>
    <row r="1064" spans="1:9">
      <c r="A1064" s="1" t="s">
        <v>1062</v>
      </c>
      <c r="B1064" s="3" t="str">
        <f ca="1">IFERROR(__xludf.DUMMYFUNCTION("SPLIT(A1064,"","")"),"US")</f>
        <v>US</v>
      </c>
      <c r="C1064" s="3" t="str">
        <f ca="1">IFERROR(__xludf.DUMMYFUNCTION("""COMPUTED_VALUE"""),"National College of Naturopathic Medicine")</f>
        <v>National College of Naturopathic Medicine</v>
      </c>
      <c r="D1064" s="4" t="str">
        <f ca="1">IFERROR(__xludf.DUMMYFUNCTION("""COMPUTED_VALUE"""),"http://www.ncnm.edu/")</f>
        <v>http://www.ncnm.edu/</v>
      </c>
      <c r="G1064" s="2" t="str">
        <f t="shared" ca="1" si="0"/>
        <v>National College of Naturopathic Medicine</v>
      </c>
      <c r="H1064" s="5" t="str">
        <f t="shared" ca="1" si="1"/>
        <v>National College of Naturopathic Medicine</v>
      </c>
      <c r="I1064" s="3" t="str">
        <f t="shared" ca="1" si="2"/>
        <v>'National College of Naturopathic Medicine',</v>
      </c>
    </row>
    <row r="1065" spans="1:9">
      <c r="A1065" s="1" t="s">
        <v>1063</v>
      </c>
      <c r="B1065" s="3" t="str">
        <f ca="1">IFERROR(__xludf.DUMMYFUNCTION("SPLIT(A1065,"","")"),"US")</f>
        <v>US</v>
      </c>
      <c r="C1065" s="3" t="str">
        <f ca="1">IFERROR(__xludf.DUMMYFUNCTION("""COMPUTED_VALUE"""),"National Defense University")</f>
        <v>National Defense University</v>
      </c>
      <c r="D1065" s="4" t="str">
        <f ca="1">IFERROR(__xludf.DUMMYFUNCTION("""COMPUTED_VALUE"""),"http://www.ndu.edu/")</f>
        <v>http://www.ndu.edu/</v>
      </c>
      <c r="G1065" s="2" t="str">
        <f t="shared" ca="1" si="0"/>
        <v>National Defense University</v>
      </c>
      <c r="H1065" s="5" t="str">
        <f t="shared" ca="1" si="1"/>
        <v>National Defense University</v>
      </c>
      <c r="I1065" s="3" t="str">
        <f t="shared" ca="1" si="2"/>
        <v>'National Defense University',</v>
      </c>
    </row>
    <row r="1066" spans="1:9">
      <c r="A1066" s="1" t="s">
        <v>1064</v>
      </c>
      <c r="B1066" s="3" t="str">
        <f ca="1">IFERROR(__xludf.DUMMYFUNCTION("SPLIT(A1066,"","")"),"US")</f>
        <v>US</v>
      </c>
      <c r="C1066" s="3" t="str">
        <f ca="1">IFERROR(__xludf.DUMMYFUNCTION("""COMPUTED_VALUE"""),"National Hispanic University")</f>
        <v>National Hispanic University</v>
      </c>
      <c r="D1066" s="4" t="str">
        <f ca="1">IFERROR(__xludf.DUMMYFUNCTION("""COMPUTED_VALUE"""),"http://www.nhu.edu/")</f>
        <v>http://www.nhu.edu/</v>
      </c>
      <c r="G1066" s="2" t="str">
        <f t="shared" ca="1" si="0"/>
        <v>National Hispanic University</v>
      </c>
      <c r="H1066" s="5" t="str">
        <f t="shared" ca="1" si="1"/>
        <v>National Hispanic University</v>
      </c>
      <c r="I1066" s="3" t="str">
        <f t="shared" ca="1" si="2"/>
        <v>'National Hispanic University',</v>
      </c>
    </row>
    <row r="1067" spans="1:9">
      <c r="A1067" s="1" t="s">
        <v>1065</v>
      </c>
      <c r="B1067" s="3" t="str">
        <f ca="1">IFERROR(__xludf.DUMMYFUNCTION("SPLIT(A1067,"","")"),"US")</f>
        <v>US</v>
      </c>
      <c r="C1067" s="3" t="str">
        <f ca="1">IFERROR(__xludf.DUMMYFUNCTION("""COMPUTED_VALUE"""),"National-Louis University")</f>
        <v>National-Louis University</v>
      </c>
      <c r="D1067" s="4" t="str">
        <f ca="1">IFERROR(__xludf.DUMMYFUNCTION("""COMPUTED_VALUE"""),"http://www.nl.edu/")</f>
        <v>http://www.nl.edu/</v>
      </c>
      <c r="G1067" s="2" t="str">
        <f t="shared" ca="1" si="0"/>
        <v>National-Louis University</v>
      </c>
      <c r="H1067" s="5" t="str">
        <f t="shared" ca="1" si="1"/>
        <v>National-Louis University</v>
      </c>
      <c r="I1067" s="3" t="str">
        <f t="shared" ca="1" si="2"/>
        <v>'National-Louis University',</v>
      </c>
    </row>
    <row r="1068" spans="1:9">
      <c r="A1068" s="1" t="s">
        <v>1066</v>
      </c>
      <c r="B1068" s="3" t="str">
        <f ca="1">IFERROR(__xludf.DUMMYFUNCTION("SPLIT(A1068,"","")"),"US")</f>
        <v>US</v>
      </c>
      <c r="C1068" s="3" t="str">
        <f ca="1">IFERROR(__xludf.DUMMYFUNCTION("""COMPUTED_VALUE"""),"National Technological University")</f>
        <v>National Technological University</v>
      </c>
      <c r="D1068" s="4" t="str">
        <f ca="1">IFERROR(__xludf.DUMMYFUNCTION("""COMPUTED_VALUE"""),"http://www.ntu.edu/")</f>
        <v>http://www.ntu.edu/</v>
      </c>
      <c r="G1068" s="2" t="str">
        <f t="shared" ca="1" si="0"/>
        <v>National Technological University</v>
      </c>
      <c r="H1068" s="5" t="str">
        <f t="shared" ca="1" si="1"/>
        <v>National Technological University</v>
      </c>
      <c r="I1068" s="3" t="str">
        <f t="shared" ca="1" si="2"/>
        <v>'National Technological University',</v>
      </c>
    </row>
    <row r="1069" spans="1:9">
      <c r="A1069" s="1" t="s">
        <v>1067</v>
      </c>
      <c r="B1069" s="3" t="str">
        <f ca="1">IFERROR(__xludf.DUMMYFUNCTION("SPLIT(A1069,"","")"),"US")</f>
        <v>US</v>
      </c>
      <c r="C1069" s="3" t="str">
        <f ca="1">IFERROR(__xludf.DUMMYFUNCTION("""COMPUTED_VALUE"""),"National Theatre Conservatory")</f>
        <v>National Theatre Conservatory</v>
      </c>
      <c r="D1069" s="4" t="str">
        <f ca="1">IFERROR(__xludf.DUMMYFUNCTION("""COMPUTED_VALUE"""),"http://www.denvercenter.org/education/ed_ntc.htm")</f>
        <v>http://www.denvercenter.org/education/ed_ntc.htm</v>
      </c>
      <c r="G1069" s="2" t="str">
        <f t="shared" ca="1" si="0"/>
        <v>National Theatre Conservatory</v>
      </c>
      <c r="H1069" s="5" t="str">
        <f t="shared" ca="1" si="1"/>
        <v>National Theatre Conservatory</v>
      </c>
      <c r="I1069" s="3" t="str">
        <f t="shared" ca="1" si="2"/>
        <v>'National Theatre Conservatory',</v>
      </c>
    </row>
    <row r="1070" spans="1:9">
      <c r="A1070" s="1" t="s">
        <v>1068</v>
      </c>
      <c r="B1070" s="3" t="str">
        <f ca="1">IFERROR(__xludf.DUMMYFUNCTION("SPLIT(A1070,"","")"),"US")</f>
        <v>US</v>
      </c>
      <c r="C1070" s="3" t="str">
        <f ca="1">IFERROR(__xludf.DUMMYFUNCTION("""COMPUTED_VALUE"""),"National University")</f>
        <v>National University</v>
      </c>
      <c r="D1070" s="4" t="str">
        <f ca="1">IFERROR(__xludf.DUMMYFUNCTION("""COMPUTED_VALUE"""),"http://www.nu.edu/")</f>
        <v>http://www.nu.edu/</v>
      </c>
      <c r="G1070" s="2" t="str">
        <f t="shared" ca="1" si="0"/>
        <v>National University</v>
      </c>
      <c r="H1070" s="5" t="str">
        <f t="shared" ca="1" si="1"/>
        <v>National University</v>
      </c>
      <c r="I1070" s="3" t="str">
        <f t="shared" ca="1" si="2"/>
        <v>'National University',</v>
      </c>
    </row>
    <row r="1071" spans="1:9">
      <c r="A1071" s="1" t="s">
        <v>1069</v>
      </c>
      <c r="B1071" s="3" t="str">
        <f ca="1">IFERROR(__xludf.DUMMYFUNCTION("SPLIT(A1071,"","")"),"US")</f>
        <v>US</v>
      </c>
      <c r="C1071" s="3" t="str">
        <f ca="1">IFERROR(__xludf.DUMMYFUNCTION("""COMPUTED_VALUE"""),"Naval Postgraduate School")</f>
        <v>Naval Postgraduate School</v>
      </c>
      <c r="D1071" s="4" t="str">
        <f ca="1">IFERROR(__xludf.DUMMYFUNCTION("""COMPUTED_VALUE"""),"http://www.nps.navy.mil/")</f>
        <v>http://www.nps.navy.mil/</v>
      </c>
      <c r="G1071" s="2" t="str">
        <f t="shared" ca="1" si="0"/>
        <v>Naval Postgraduate School</v>
      </c>
      <c r="H1071" s="5" t="str">
        <f t="shared" ca="1" si="1"/>
        <v>Naval Postgraduate School</v>
      </c>
      <c r="I1071" s="3" t="str">
        <f t="shared" ca="1" si="2"/>
        <v>'Naval Postgraduate School',</v>
      </c>
    </row>
    <row r="1072" spans="1:9">
      <c r="A1072" s="1" t="s">
        <v>1070</v>
      </c>
      <c r="B1072" s="3" t="str">
        <f ca="1">IFERROR(__xludf.DUMMYFUNCTION("SPLIT(A1072,"","")"),"US")</f>
        <v>US</v>
      </c>
      <c r="C1072" s="3" t="str">
        <f ca="1">IFERROR(__xludf.DUMMYFUNCTION("""COMPUTED_VALUE"""),"Nazarene Bible College")</f>
        <v>Nazarene Bible College</v>
      </c>
      <c r="D1072" s="4" t="str">
        <f ca="1">IFERROR(__xludf.DUMMYFUNCTION("""COMPUTED_VALUE"""),"http://www.nbc.edu/")</f>
        <v>http://www.nbc.edu/</v>
      </c>
      <c r="G1072" s="2" t="str">
        <f t="shared" ca="1" si="0"/>
        <v>Nazarene Bible College</v>
      </c>
      <c r="H1072" s="5" t="str">
        <f t="shared" ca="1" si="1"/>
        <v>Nazarene Bible College</v>
      </c>
      <c r="I1072" s="3" t="str">
        <f t="shared" ca="1" si="2"/>
        <v>'Nazarene Bible College',</v>
      </c>
    </row>
    <row r="1073" spans="1:9">
      <c r="A1073" s="1" t="s">
        <v>1071</v>
      </c>
      <c r="B1073" s="3" t="str">
        <f ca="1">IFERROR(__xludf.DUMMYFUNCTION("SPLIT(A1073,"","")"),"US")</f>
        <v>US</v>
      </c>
      <c r="C1073" s="3" t="str">
        <f ca="1">IFERROR(__xludf.DUMMYFUNCTION("""COMPUTED_VALUE"""),"Nazareth College")</f>
        <v>Nazareth College</v>
      </c>
      <c r="D1073" s="4" t="str">
        <f ca="1">IFERROR(__xludf.DUMMYFUNCTION("""COMPUTED_VALUE"""),"http://www.naz.edu/")</f>
        <v>http://www.naz.edu/</v>
      </c>
      <c r="G1073" s="2" t="str">
        <f t="shared" ca="1" si="0"/>
        <v>Nazareth College</v>
      </c>
      <c r="H1073" s="5" t="str">
        <f t="shared" ca="1" si="1"/>
        <v>Nazareth College</v>
      </c>
      <c r="I1073" s="3" t="str">
        <f t="shared" ca="1" si="2"/>
        <v>'Nazareth College',</v>
      </c>
    </row>
    <row r="1074" spans="1:9">
      <c r="A1074" s="1" t="s">
        <v>1072</v>
      </c>
      <c r="B1074" s="3" t="str">
        <f ca="1">IFERROR(__xludf.DUMMYFUNCTION("SPLIT(A1074,"","")"),"US")</f>
        <v>US</v>
      </c>
      <c r="C1074" s="3" t="str">
        <f ca="1">IFERROR(__xludf.DUMMYFUNCTION("""COMPUTED_VALUE"""),"Nebraska Christian College")</f>
        <v>Nebraska Christian College</v>
      </c>
      <c r="D1074" s="4" t="str">
        <f ca="1">IFERROR(__xludf.DUMMYFUNCTION("""COMPUTED_VALUE"""),"http://www.nechristian.edu/")</f>
        <v>http://www.nechristian.edu/</v>
      </c>
      <c r="G1074" s="2" t="str">
        <f t="shared" ca="1" si="0"/>
        <v>Nebraska Christian College</v>
      </c>
      <c r="H1074" s="5" t="str">
        <f t="shared" ca="1" si="1"/>
        <v>Nebraska Christian College</v>
      </c>
      <c r="I1074" s="3" t="str">
        <f t="shared" ca="1" si="2"/>
        <v>'Nebraska Christian College',</v>
      </c>
    </row>
    <row r="1075" spans="1:9">
      <c r="A1075" s="1" t="s">
        <v>1073</v>
      </c>
      <c r="B1075" s="3" t="str">
        <f ca="1">IFERROR(__xludf.DUMMYFUNCTION("SPLIT(A1075,"","")"),"US")</f>
        <v>US</v>
      </c>
      <c r="C1075" s="3" t="str">
        <f ca="1">IFERROR(__xludf.DUMMYFUNCTION("""COMPUTED_VALUE"""),"Nebraska Methodist College of Nursing and Allied Health")</f>
        <v>Nebraska Methodist College of Nursing and Allied Health</v>
      </c>
      <c r="D1075" s="4" t="str">
        <f ca="1">IFERROR(__xludf.DUMMYFUNCTION("""COMPUTED_VALUE"""),"http://www.methodistcollege.edu/nurseover.html")</f>
        <v>http://www.methodistcollege.edu/nurseover.html</v>
      </c>
      <c r="G1075" s="2" t="str">
        <f t="shared" ca="1" si="0"/>
        <v>Nebraska Methodist College of Nursing and Allied Health</v>
      </c>
      <c r="H1075" s="5" t="str">
        <f t="shared" ca="1" si="1"/>
        <v>Nebraska Methodist College of Nursing and Allied Health</v>
      </c>
      <c r="I1075" s="3" t="str">
        <f t="shared" ca="1" si="2"/>
        <v>'Nebraska Methodist College of Nursing and Allied Health',</v>
      </c>
    </row>
    <row r="1076" spans="1:9">
      <c r="A1076" s="1" t="s">
        <v>1074</v>
      </c>
      <c r="B1076" s="3" t="str">
        <f ca="1">IFERROR(__xludf.DUMMYFUNCTION("SPLIT(A1076,"","")"),"US")</f>
        <v>US</v>
      </c>
      <c r="C1076" s="3" t="str">
        <f ca="1">IFERROR(__xludf.DUMMYFUNCTION("""COMPUTED_VALUE"""),"Nebraska Wesleyan University")</f>
        <v>Nebraska Wesleyan University</v>
      </c>
      <c r="D1076" s="4" t="str">
        <f ca="1">IFERROR(__xludf.DUMMYFUNCTION("""COMPUTED_VALUE"""),"http://www.nebrwesleyan.edu/")</f>
        <v>http://www.nebrwesleyan.edu/</v>
      </c>
      <c r="G1076" s="2" t="str">
        <f t="shared" ca="1" si="0"/>
        <v>Nebraska Wesleyan University</v>
      </c>
      <c r="H1076" s="5" t="str">
        <f t="shared" ca="1" si="1"/>
        <v>Nebraska Wesleyan University</v>
      </c>
      <c r="I1076" s="3" t="str">
        <f t="shared" ca="1" si="2"/>
        <v>'Nebraska Wesleyan University',</v>
      </c>
    </row>
    <row r="1077" spans="1:9">
      <c r="A1077" s="1" t="s">
        <v>1075</v>
      </c>
      <c r="B1077" s="3" t="str">
        <f ca="1">IFERROR(__xludf.DUMMYFUNCTION("SPLIT(A1077,"","")"),"US")</f>
        <v>US</v>
      </c>
      <c r="C1077" s="3" t="str">
        <f ca="1">IFERROR(__xludf.DUMMYFUNCTION("""COMPUTED_VALUE"""),"Neumann College")</f>
        <v>Neumann College</v>
      </c>
      <c r="D1077" s="4" t="str">
        <f ca="1">IFERROR(__xludf.DUMMYFUNCTION("""COMPUTED_VALUE"""),"http://www.neumann.edu/")</f>
        <v>http://www.neumann.edu/</v>
      </c>
      <c r="G1077" s="2" t="str">
        <f t="shared" ca="1" si="0"/>
        <v>Neumann College</v>
      </c>
      <c r="H1077" s="5" t="str">
        <f t="shared" ca="1" si="1"/>
        <v>Neumann College</v>
      </c>
      <c r="I1077" s="3" t="str">
        <f t="shared" ca="1" si="2"/>
        <v>'Neumann College',</v>
      </c>
    </row>
    <row r="1078" spans="1:9">
      <c r="A1078" s="1" t="s">
        <v>1076</v>
      </c>
      <c r="B1078" s="3" t="str">
        <f ca="1">IFERROR(__xludf.DUMMYFUNCTION("SPLIT(A1078,"","")"),"US")</f>
        <v>US</v>
      </c>
      <c r="C1078" s="3" t="str">
        <f ca="1">IFERROR(__xludf.DUMMYFUNCTION("""COMPUTED_VALUE"""),"Newberry College")</f>
        <v>Newberry College</v>
      </c>
      <c r="D1078" s="4" t="str">
        <f ca="1">IFERROR(__xludf.DUMMYFUNCTION("""COMPUTED_VALUE"""),"http://www.newberry.edu/")</f>
        <v>http://www.newberry.edu/</v>
      </c>
      <c r="G1078" s="2" t="str">
        <f t="shared" ca="1" si="0"/>
        <v>Newberry College</v>
      </c>
      <c r="H1078" s="5" t="str">
        <f t="shared" ca="1" si="1"/>
        <v>Newberry College</v>
      </c>
      <c r="I1078" s="3" t="str">
        <f t="shared" ca="1" si="2"/>
        <v>'Newberry College',</v>
      </c>
    </row>
    <row r="1079" spans="1:9">
      <c r="A1079" s="1" t="s">
        <v>1077</v>
      </c>
      <c r="B1079" s="3" t="str">
        <f ca="1">IFERROR(__xludf.DUMMYFUNCTION("SPLIT(A1079,"","")"),"US")</f>
        <v>US</v>
      </c>
      <c r="C1079" s="3" t="str">
        <f ca="1">IFERROR(__xludf.DUMMYFUNCTION("""COMPUTED_VALUE"""),"New College of California")</f>
        <v>New College of California</v>
      </c>
      <c r="D1079" s="4" t="str">
        <f ca="1">IFERROR(__xludf.DUMMYFUNCTION("""COMPUTED_VALUE"""),"http://www.newcollege.edu/")</f>
        <v>http://www.newcollege.edu/</v>
      </c>
      <c r="G1079" s="2" t="str">
        <f t="shared" ca="1" si="0"/>
        <v>New College of California</v>
      </c>
      <c r="H1079" s="5" t="str">
        <f t="shared" ca="1" si="1"/>
        <v>New College of California</v>
      </c>
      <c r="I1079" s="3" t="str">
        <f t="shared" ca="1" si="2"/>
        <v>'New College of California',</v>
      </c>
    </row>
    <row r="1080" spans="1:9">
      <c r="A1080" s="1" t="s">
        <v>1078</v>
      </c>
      <c r="B1080" s="3" t="str">
        <f ca="1">IFERROR(__xludf.DUMMYFUNCTION("SPLIT(A1080,"","")"),"US")</f>
        <v>US</v>
      </c>
      <c r="C1080" s="3" t="str">
        <f ca="1">IFERROR(__xludf.DUMMYFUNCTION("""COMPUTED_VALUE"""),"New College of Florida")</f>
        <v>New College of Florida</v>
      </c>
      <c r="D1080" s="4" t="str">
        <f ca="1">IFERROR(__xludf.DUMMYFUNCTION("""COMPUTED_VALUE"""),"http://www.ncf.edu/")</f>
        <v>http://www.ncf.edu/</v>
      </c>
      <c r="G1080" s="2" t="str">
        <f t="shared" ca="1" si="0"/>
        <v>New College of Florida</v>
      </c>
      <c r="H1080" s="5" t="str">
        <f t="shared" ca="1" si="1"/>
        <v>New College of Florida</v>
      </c>
      <c r="I1080" s="3" t="str">
        <f t="shared" ca="1" si="2"/>
        <v>'New College of Florida',</v>
      </c>
    </row>
    <row r="1081" spans="1:9">
      <c r="A1081" s="1" t="s">
        <v>1079</v>
      </c>
      <c r="B1081" s="3" t="str">
        <f ca="1">IFERROR(__xludf.DUMMYFUNCTION("SPLIT(A1081,"","")"),"US")</f>
        <v>US</v>
      </c>
      <c r="C1081" s="3" t="str">
        <f ca="1">IFERROR(__xludf.DUMMYFUNCTION("""COMPUTED_VALUE"""),"New England College")</f>
        <v>New England College</v>
      </c>
      <c r="D1081" s="4" t="str">
        <f ca="1">IFERROR(__xludf.DUMMYFUNCTION("""COMPUTED_VALUE"""),"http://www.nec.edu/")</f>
        <v>http://www.nec.edu/</v>
      </c>
      <c r="G1081" s="2" t="str">
        <f t="shared" ca="1" si="0"/>
        <v>New England College</v>
      </c>
      <c r="H1081" s="5" t="str">
        <f t="shared" ca="1" si="1"/>
        <v>New England College</v>
      </c>
      <c r="I1081" s="3" t="str">
        <f t="shared" ca="1" si="2"/>
        <v>'New England College',</v>
      </c>
    </row>
    <row r="1082" spans="1:9">
      <c r="A1082" s="1" t="s">
        <v>1080</v>
      </c>
      <c r="B1082" s="3" t="str">
        <f ca="1">IFERROR(__xludf.DUMMYFUNCTION("SPLIT(A1082,"","")"),"US")</f>
        <v>US</v>
      </c>
      <c r="C1082" s="3" t="str">
        <f ca="1">IFERROR(__xludf.DUMMYFUNCTION("""COMPUTED_VALUE"""),"New England College of Optometry")</f>
        <v>New England College of Optometry</v>
      </c>
      <c r="D1082" s="4" t="str">
        <f ca="1">IFERROR(__xludf.DUMMYFUNCTION("""COMPUTED_VALUE"""),"http://www.ne-optometry.edu/")</f>
        <v>http://www.ne-optometry.edu/</v>
      </c>
      <c r="G1082" s="2" t="str">
        <f t="shared" ca="1" si="0"/>
        <v>New England College of Optometry</v>
      </c>
      <c r="H1082" s="5" t="str">
        <f t="shared" ca="1" si="1"/>
        <v>New England College of Optometry</v>
      </c>
      <c r="I1082" s="3" t="str">
        <f t="shared" ca="1" si="2"/>
        <v>'New England College of Optometry',</v>
      </c>
    </row>
    <row r="1083" spans="1:9">
      <c r="A1083" s="1" t="s">
        <v>1081</v>
      </c>
      <c r="B1083" s="3" t="str">
        <f ca="1">IFERROR(__xludf.DUMMYFUNCTION("SPLIT(A1083,"","")"),"US")</f>
        <v>US</v>
      </c>
      <c r="C1083" s="3" t="str">
        <f ca="1">IFERROR(__xludf.DUMMYFUNCTION("""COMPUTED_VALUE"""),"New England Conservatory of Music")</f>
        <v>New England Conservatory of Music</v>
      </c>
      <c r="D1083" s="4" t="str">
        <f ca="1">IFERROR(__xludf.DUMMYFUNCTION("""COMPUTED_VALUE"""),"http://www.newenglandconservatory.edu/")</f>
        <v>http://www.newenglandconservatory.edu/</v>
      </c>
      <c r="G1083" s="2" t="str">
        <f t="shared" ca="1" si="0"/>
        <v>New England Conservatory of Music</v>
      </c>
      <c r="H1083" s="5" t="str">
        <f t="shared" ca="1" si="1"/>
        <v>New England Conservatory of Music</v>
      </c>
      <c r="I1083" s="3" t="str">
        <f t="shared" ca="1" si="2"/>
        <v>'New England Conservatory of Music',</v>
      </c>
    </row>
    <row r="1084" spans="1:9">
      <c r="A1084" s="1" t="s">
        <v>1082</v>
      </c>
      <c r="B1084" s="3" t="str">
        <f ca="1">IFERROR(__xludf.DUMMYFUNCTION("SPLIT(A1084,"","")"),"US")</f>
        <v>US</v>
      </c>
      <c r="C1084" s="3" t="str">
        <f ca="1">IFERROR(__xludf.DUMMYFUNCTION("""COMPUTED_VALUE"""),"New England Institute of Technology")</f>
        <v>New England Institute of Technology</v>
      </c>
      <c r="D1084" s="4" t="str">
        <f ca="1">IFERROR(__xludf.DUMMYFUNCTION("""COMPUTED_VALUE"""),"http://www.neit.edu/")</f>
        <v>http://www.neit.edu/</v>
      </c>
      <c r="G1084" s="2" t="str">
        <f t="shared" ca="1" si="0"/>
        <v>New England Institute of Technology</v>
      </c>
      <c r="H1084" s="5" t="str">
        <f t="shared" ca="1" si="1"/>
        <v>New England Institute of Technology</v>
      </c>
      <c r="I1084" s="3" t="str">
        <f t="shared" ca="1" si="2"/>
        <v>'New England Institute of Technology',</v>
      </c>
    </row>
    <row r="1085" spans="1:9">
      <c r="A1085" s="1" t="s">
        <v>1083</v>
      </c>
      <c r="B1085" s="3" t="str">
        <f ca="1">IFERROR(__xludf.DUMMYFUNCTION("SPLIT(A1085,"","")"),"US")</f>
        <v>US</v>
      </c>
      <c r="C1085" s="3" t="str">
        <f ca="1">IFERROR(__xludf.DUMMYFUNCTION("""COMPUTED_VALUE"""),"New England School of Art and Design")</f>
        <v>New England School of Art and Design</v>
      </c>
      <c r="D1085" s="4" t="str">
        <f ca="1">IFERROR(__xludf.DUMMYFUNCTION("""COMPUTED_VALUE"""),"http://www.suffolk.edu/nesad/")</f>
        <v>http://www.suffolk.edu/nesad/</v>
      </c>
      <c r="G1085" s="2" t="str">
        <f t="shared" ca="1" si="0"/>
        <v>New England School of Art and Design</v>
      </c>
      <c r="H1085" s="5" t="str">
        <f t="shared" ca="1" si="1"/>
        <v>New England School of Art and Design</v>
      </c>
      <c r="I1085" s="3" t="str">
        <f t="shared" ca="1" si="2"/>
        <v>'New England School of Art and Design',</v>
      </c>
    </row>
    <row r="1086" spans="1:9">
      <c r="A1086" s="1" t="s">
        <v>1084</v>
      </c>
      <c r="B1086" s="3" t="str">
        <f ca="1">IFERROR(__xludf.DUMMYFUNCTION("SPLIT(A1086,"","")"),"US")</f>
        <v>US</v>
      </c>
      <c r="C1086" s="3" t="str">
        <f ca="1">IFERROR(__xludf.DUMMYFUNCTION("""COMPUTED_VALUE"""),"New England School of Communications")</f>
        <v>New England School of Communications</v>
      </c>
      <c r="D1086" s="4" t="str">
        <f ca="1">IFERROR(__xludf.DUMMYFUNCTION("""COMPUTED_VALUE"""),"http://www.nescom.edu/")</f>
        <v>http://www.nescom.edu/</v>
      </c>
      <c r="G1086" s="2" t="str">
        <f t="shared" ca="1" si="0"/>
        <v>New England School of Communications</v>
      </c>
      <c r="H1086" s="5" t="str">
        <f t="shared" ca="1" si="1"/>
        <v>New England School of Communications</v>
      </c>
      <c r="I1086" s="3" t="str">
        <f t="shared" ca="1" si="2"/>
        <v>'New England School of Communications',</v>
      </c>
    </row>
    <row r="1087" spans="1:9">
      <c r="A1087" s="1" t="s">
        <v>1085</v>
      </c>
      <c r="B1087" s="3" t="str">
        <f ca="1">IFERROR(__xludf.DUMMYFUNCTION("SPLIT(A1087,"","")"),"US")</f>
        <v>US</v>
      </c>
      <c r="C1087" s="3" t="str">
        <f ca="1">IFERROR(__xludf.DUMMYFUNCTION("""COMPUTED_VALUE"""),"New England School of Law")</f>
        <v>New England School of Law</v>
      </c>
      <c r="D1087" s="4" t="str">
        <f ca="1">IFERROR(__xludf.DUMMYFUNCTION("""COMPUTED_VALUE"""),"http://www.nesl.edu/")</f>
        <v>http://www.nesl.edu/</v>
      </c>
      <c r="G1087" s="2" t="str">
        <f t="shared" ca="1" si="0"/>
        <v>New England School of Law</v>
      </c>
      <c r="H1087" s="5" t="str">
        <f t="shared" ca="1" si="1"/>
        <v>New England School of Law</v>
      </c>
      <c r="I1087" s="3" t="str">
        <f t="shared" ca="1" si="2"/>
        <v>'New England School of Law',</v>
      </c>
    </row>
    <row r="1088" spans="1:9">
      <c r="A1088" s="1" t="s">
        <v>1086</v>
      </c>
      <c r="B1088" s="3" t="str">
        <f ca="1">IFERROR(__xludf.DUMMYFUNCTION("SPLIT(A1088,"","")"),"US")</f>
        <v>US</v>
      </c>
      <c r="C1088" s="3" t="str">
        <f ca="1">IFERROR(__xludf.DUMMYFUNCTION("""COMPUTED_VALUE"""),"New Hampshire College")</f>
        <v>New Hampshire College</v>
      </c>
      <c r="D1088" s="4" t="str">
        <f ca="1">IFERROR(__xludf.DUMMYFUNCTION("""COMPUTED_VALUE"""),"http://www.nhc.edu/")</f>
        <v>http://www.nhc.edu/</v>
      </c>
      <c r="G1088" s="2" t="str">
        <f t="shared" ca="1" si="0"/>
        <v>New Hampshire College</v>
      </c>
      <c r="H1088" s="5" t="str">
        <f t="shared" ca="1" si="1"/>
        <v>New Hampshire College</v>
      </c>
      <c r="I1088" s="3" t="str">
        <f t="shared" ca="1" si="2"/>
        <v>'New Hampshire College',</v>
      </c>
    </row>
    <row r="1089" spans="1:9">
      <c r="A1089" s="1" t="s">
        <v>1087</v>
      </c>
      <c r="B1089" s="3" t="str">
        <f ca="1">IFERROR(__xludf.DUMMYFUNCTION("SPLIT(A1089,"","")"),"US")</f>
        <v>US</v>
      </c>
      <c r="C1089" s="3" t="str">
        <f ca="1">IFERROR(__xludf.DUMMYFUNCTION("""COMPUTED_VALUE"""),"New Jersey City University")</f>
        <v>New Jersey City University</v>
      </c>
      <c r="D1089" s="4" t="str">
        <f ca="1">IFERROR(__xludf.DUMMYFUNCTION("""COMPUTED_VALUE"""),"http://www.njcu.edu/")</f>
        <v>http://www.njcu.edu/</v>
      </c>
      <c r="G1089" s="2" t="str">
        <f t="shared" ca="1" si="0"/>
        <v>New Jersey City University</v>
      </c>
      <c r="H1089" s="5" t="str">
        <f t="shared" ca="1" si="1"/>
        <v>New Jersey City University</v>
      </c>
      <c r="I1089" s="3" t="str">
        <f t="shared" ca="1" si="2"/>
        <v>'New Jersey City University',</v>
      </c>
    </row>
    <row r="1090" spans="1:9">
      <c r="A1090" s="1" t="s">
        <v>1088</v>
      </c>
      <c r="B1090" s="3" t="str">
        <f ca="1">IFERROR(__xludf.DUMMYFUNCTION("SPLIT(A1090,"","")"),"US")</f>
        <v>US</v>
      </c>
      <c r="C1090" s="3" t="str">
        <f ca="1">IFERROR(__xludf.DUMMYFUNCTION("""COMPUTED_VALUE"""),"New Jersey Institute of Technology")</f>
        <v>New Jersey Institute of Technology</v>
      </c>
      <c r="D1090" s="4" t="str">
        <f ca="1">IFERROR(__xludf.DUMMYFUNCTION("""COMPUTED_VALUE"""),"http://www.njit.edu/")</f>
        <v>http://www.njit.edu/</v>
      </c>
      <c r="G1090" s="2" t="str">
        <f t="shared" ca="1" si="0"/>
        <v>New Jersey Institute of Technology</v>
      </c>
      <c r="H1090" s="5" t="str">
        <f t="shared" ca="1" si="1"/>
        <v>New Jersey Institute of Technology</v>
      </c>
      <c r="I1090" s="3" t="str">
        <f t="shared" ca="1" si="2"/>
        <v>'New Jersey Institute of Technology',</v>
      </c>
    </row>
    <row r="1091" spans="1:9">
      <c r="A1091" s="1" t="s">
        <v>1089</v>
      </c>
      <c r="B1091" s="3" t="str">
        <f ca="1">IFERROR(__xludf.DUMMYFUNCTION("SPLIT(A1091,"","")"),"US")</f>
        <v>US</v>
      </c>
      <c r="C1091" s="3" t="str">
        <f ca="1">IFERROR(__xludf.DUMMYFUNCTION("""COMPUTED_VALUE"""),"Newman University")</f>
        <v>Newman University</v>
      </c>
      <c r="D1091" s="4" t="str">
        <f ca="1">IFERROR(__xludf.DUMMYFUNCTION("""COMPUTED_VALUE"""),"http://www.ksnewman.edu/")</f>
        <v>http://www.ksnewman.edu/</v>
      </c>
      <c r="G1091" s="2" t="str">
        <f t="shared" ca="1" si="0"/>
        <v>Newman University</v>
      </c>
      <c r="H1091" s="5" t="str">
        <f t="shared" ca="1" si="1"/>
        <v>Newman University</v>
      </c>
      <c r="I1091" s="3" t="str">
        <f t="shared" ca="1" si="2"/>
        <v>'Newman University',</v>
      </c>
    </row>
    <row r="1092" spans="1:9">
      <c r="A1092" s="1" t="s">
        <v>1090</v>
      </c>
      <c r="B1092" s="3" t="str">
        <f ca="1">IFERROR(__xludf.DUMMYFUNCTION("SPLIT(A1092,"","")"),"US")</f>
        <v>US</v>
      </c>
      <c r="C1092" s="3" t="str">
        <f ca="1">IFERROR(__xludf.DUMMYFUNCTION("""COMPUTED_VALUE"""),"New Mexico Highlands University")</f>
        <v>New Mexico Highlands University</v>
      </c>
      <c r="D1092" s="4" t="str">
        <f ca="1">IFERROR(__xludf.DUMMYFUNCTION("""COMPUTED_VALUE"""),"http://www.nmhu.edu/")</f>
        <v>http://www.nmhu.edu/</v>
      </c>
      <c r="G1092" s="2" t="str">
        <f t="shared" ca="1" si="0"/>
        <v>New Mexico Highlands University</v>
      </c>
      <c r="H1092" s="5" t="str">
        <f t="shared" ca="1" si="1"/>
        <v>New Mexico Highlands University</v>
      </c>
      <c r="I1092" s="3" t="str">
        <f t="shared" ca="1" si="2"/>
        <v>'New Mexico Highlands University',</v>
      </c>
    </row>
    <row r="1093" spans="1:9">
      <c r="A1093" s="1" t="s">
        <v>1091</v>
      </c>
      <c r="B1093" s="3" t="str">
        <f ca="1">IFERROR(__xludf.DUMMYFUNCTION("SPLIT(A1093,"","")"),"US")</f>
        <v>US</v>
      </c>
      <c r="C1093" s="3" t="str">
        <f ca="1">IFERROR(__xludf.DUMMYFUNCTION("""COMPUTED_VALUE"""),"New Mexico Institute of Mining and Technology")</f>
        <v>New Mexico Institute of Mining and Technology</v>
      </c>
      <c r="D1093" s="4" t="str">
        <f ca="1">IFERROR(__xludf.DUMMYFUNCTION("""COMPUTED_VALUE"""),"http://www.nmt.edu/")</f>
        <v>http://www.nmt.edu/</v>
      </c>
      <c r="G1093" s="2" t="str">
        <f t="shared" ca="1" si="0"/>
        <v>New Mexico Institute of Mining and Technology</v>
      </c>
      <c r="H1093" s="5" t="str">
        <f t="shared" ca="1" si="1"/>
        <v>New Mexico Institute of Mining and Technology</v>
      </c>
      <c r="I1093" s="3" t="str">
        <f t="shared" ca="1" si="2"/>
        <v>'New Mexico Institute of Mining and Technology',</v>
      </c>
    </row>
    <row r="1094" spans="1:9">
      <c r="A1094" s="1" t="s">
        <v>1092</v>
      </c>
      <c r="B1094" s="3" t="str">
        <f ca="1">IFERROR(__xludf.DUMMYFUNCTION("SPLIT(A1094,"","")"),"US")</f>
        <v>US</v>
      </c>
      <c r="C1094" s="3" t="str">
        <f ca="1">IFERROR(__xludf.DUMMYFUNCTION("""COMPUTED_VALUE"""),"New Mexico State University")</f>
        <v>New Mexico State University</v>
      </c>
      <c r="D1094" s="4" t="str">
        <f ca="1">IFERROR(__xludf.DUMMYFUNCTION("""COMPUTED_VALUE"""),"http://www.nmsu.edu/")</f>
        <v>http://www.nmsu.edu/</v>
      </c>
      <c r="G1094" s="2" t="str">
        <f t="shared" ca="1" si="0"/>
        <v>New Mexico State University</v>
      </c>
      <c r="H1094" s="5" t="str">
        <f t="shared" ca="1" si="1"/>
        <v>New Mexico State University</v>
      </c>
      <c r="I1094" s="3" t="str">
        <f t="shared" ca="1" si="2"/>
        <v>'New Mexico State University',</v>
      </c>
    </row>
    <row r="1095" spans="1:9">
      <c r="A1095" s="1" t="s">
        <v>1093</v>
      </c>
      <c r="B1095" s="3" t="str">
        <f ca="1">IFERROR(__xludf.DUMMYFUNCTION("SPLIT(A1095,"","")"),"US")</f>
        <v>US</v>
      </c>
      <c r="C1095" s="3" t="str">
        <f ca="1">IFERROR(__xludf.DUMMYFUNCTION("""COMPUTED_VALUE"""),"Newschool of Architecture and Design")</f>
        <v>Newschool of Architecture and Design</v>
      </c>
      <c r="D1095" s="4" t="str">
        <f ca="1">IFERROR(__xludf.DUMMYFUNCTION("""COMPUTED_VALUE"""),"http://www.newschoolarch.edu/")</f>
        <v>http://www.newschoolarch.edu/</v>
      </c>
      <c r="G1095" s="2" t="str">
        <f t="shared" ca="1" si="0"/>
        <v>Newschool of Architecture and Design</v>
      </c>
      <c r="H1095" s="5" t="str">
        <f t="shared" ca="1" si="1"/>
        <v>Newschool of Architecture and Design</v>
      </c>
      <c r="I1095" s="3" t="str">
        <f t="shared" ca="1" si="2"/>
        <v>'Newschool of Architecture and Design',</v>
      </c>
    </row>
    <row r="1096" spans="1:9">
      <c r="A1096" s="1" t="s">
        <v>1094</v>
      </c>
      <c r="B1096" s="3" t="str">
        <f ca="1">IFERROR(__xludf.DUMMYFUNCTION("SPLIT(A1096,"","")"),"US")</f>
        <v>US</v>
      </c>
      <c r="C1096" s="3" t="str">
        <f ca="1">IFERROR(__xludf.DUMMYFUNCTION("""COMPUTED_VALUE"""),"""New York Academy of Art")</f>
        <v>"New York Academy of Art</v>
      </c>
      <c r="D1096" s="3" t="str">
        <f ca="1">IFERROR(__xludf.DUMMYFUNCTION("""COMPUTED_VALUE""")," Graduate School of Figurative Art""")</f>
        <v xml:space="preserve"> Graduate School of Figurative Art"</v>
      </c>
      <c r="E1096" s="4" t="str">
        <f ca="1">IFERROR(__xludf.DUMMYFUNCTION("""COMPUTED_VALUE"""),"http://www.nyaa.edu/")</f>
        <v>http://www.nyaa.edu/</v>
      </c>
      <c r="G1096" s="2" t="str">
        <f t="shared" ca="1" si="0"/>
        <v>"New York Academy of Art</v>
      </c>
      <c r="H1096" s="5" t="str">
        <f t="shared" ca="1" si="1"/>
        <v>New York Academy of Art</v>
      </c>
      <c r="I1096" s="3" t="str">
        <f t="shared" ca="1" si="2"/>
        <v>'New York Academy of Art',</v>
      </c>
    </row>
    <row r="1097" spans="1:9">
      <c r="A1097" s="1" t="s">
        <v>1095</v>
      </c>
      <c r="B1097" s="3" t="str">
        <f ca="1">IFERROR(__xludf.DUMMYFUNCTION("SPLIT(A1097,"","")"),"US")</f>
        <v>US</v>
      </c>
      <c r="C1097" s="3" t="str">
        <f ca="1">IFERROR(__xludf.DUMMYFUNCTION("""COMPUTED_VALUE"""),"New York Chiropractic College")</f>
        <v>New York Chiropractic College</v>
      </c>
      <c r="D1097" s="4" t="str">
        <f ca="1">IFERROR(__xludf.DUMMYFUNCTION("""COMPUTED_VALUE"""),"http://www.nycc.edu/")</f>
        <v>http://www.nycc.edu/</v>
      </c>
      <c r="G1097" s="2" t="str">
        <f t="shared" ca="1" si="0"/>
        <v>New York Chiropractic College</v>
      </c>
      <c r="H1097" s="5" t="str">
        <f t="shared" ca="1" si="1"/>
        <v>New York Chiropractic College</v>
      </c>
      <c r="I1097" s="3" t="str">
        <f t="shared" ca="1" si="2"/>
        <v>'New York Chiropractic College',</v>
      </c>
    </row>
    <row r="1098" spans="1:9">
      <c r="A1098" s="1" t="s">
        <v>1096</v>
      </c>
      <c r="B1098" s="3" t="str">
        <f ca="1">IFERROR(__xludf.DUMMYFUNCTION("SPLIT(A1098,"","")"),"US")</f>
        <v>US</v>
      </c>
      <c r="C1098" s="3" t="str">
        <f ca="1">IFERROR(__xludf.DUMMYFUNCTION("""COMPUTED_VALUE"""),"New York College of Podiatric Medicine")</f>
        <v>New York College of Podiatric Medicine</v>
      </c>
      <c r="D1098" s="4" t="str">
        <f ca="1">IFERROR(__xludf.DUMMYFUNCTION("""COMPUTED_VALUE"""),"http://www.nycpm.edu/")</f>
        <v>http://www.nycpm.edu/</v>
      </c>
      <c r="G1098" s="2" t="str">
        <f t="shared" ca="1" si="0"/>
        <v>New York College of Podiatric Medicine</v>
      </c>
      <c r="H1098" s="5" t="str">
        <f t="shared" ca="1" si="1"/>
        <v>New York College of Podiatric Medicine</v>
      </c>
      <c r="I1098" s="3" t="str">
        <f t="shared" ca="1" si="2"/>
        <v>'New York College of Podiatric Medicine',</v>
      </c>
    </row>
    <row r="1099" spans="1:9">
      <c r="A1099" s="1" t="s">
        <v>1097</v>
      </c>
      <c r="B1099" s="3" t="str">
        <f ca="1">IFERROR(__xludf.DUMMYFUNCTION("SPLIT(A1099,"","")"),"US")</f>
        <v>US</v>
      </c>
      <c r="C1099" s="3" t="str">
        <f ca="1">IFERROR(__xludf.DUMMYFUNCTION("""COMPUTED_VALUE"""),"New York Film Academy")</f>
        <v>New York Film Academy</v>
      </c>
      <c r="D1099" s="4" t="str">
        <f ca="1">IFERROR(__xludf.DUMMYFUNCTION("""COMPUTED_VALUE"""),"http://www.nyfa.edu/")</f>
        <v>http://www.nyfa.edu/</v>
      </c>
      <c r="G1099" s="2" t="str">
        <f t="shared" ca="1" si="0"/>
        <v>New York Film Academy</v>
      </c>
      <c r="H1099" s="5" t="str">
        <f t="shared" ca="1" si="1"/>
        <v>New York Film Academy</v>
      </c>
      <c r="I1099" s="3" t="str">
        <f t="shared" ca="1" si="2"/>
        <v>'New York Film Academy',</v>
      </c>
    </row>
    <row r="1100" spans="1:9">
      <c r="A1100" s="1" t="s">
        <v>1098</v>
      </c>
      <c r="B1100" s="3" t="str">
        <f ca="1">IFERROR(__xludf.DUMMYFUNCTION("SPLIT(A1100,"","")"),"US")</f>
        <v>US</v>
      </c>
      <c r="C1100" s="3" t="str">
        <f ca="1">IFERROR(__xludf.DUMMYFUNCTION("""COMPUTED_VALUE"""),"New York Institute of Technology")</f>
        <v>New York Institute of Technology</v>
      </c>
      <c r="D1100" s="4" t="str">
        <f ca="1">IFERROR(__xludf.DUMMYFUNCTION("""COMPUTED_VALUE"""),"http://www.nyit.edu/")</f>
        <v>http://www.nyit.edu/</v>
      </c>
      <c r="G1100" s="2" t="str">
        <f t="shared" ca="1" si="0"/>
        <v>New York Institute of Technology</v>
      </c>
      <c r="H1100" s="5" t="str">
        <f t="shared" ca="1" si="1"/>
        <v>New York Institute of Technology</v>
      </c>
      <c r="I1100" s="3" t="str">
        <f t="shared" ca="1" si="2"/>
        <v>'New York Institute of Technology',</v>
      </c>
    </row>
    <row r="1101" spans="1:9">
      <c r="A1101" s="1" t="s">
        <v>1099</v>
      </c>
      <c r="B1101" s="3" t="str">
        <f ca="1">IFERROR(__xludf.DUMMYFUNCTION("SPLIT(A1101,"","")"),"US")</f>
        <v>US</v>
      </c>
      <c r="C1101" s="3" t="str">
        <f ca="1">IFERROR(__xludf.DUMMYFUNCTION("""COMPUTED_VALUE"""),"New York Law School")</f>
        <v>New York Law School</v>
      </c>
      <c r="D1101" s="4" t="str">
        <f ca="1">IFERROR(__xludf.DUMMYFUNCTION("""COMPUTED_VALUE"""),"http://www.nyls.edu/")</f>
        <v>http://www.nyls.edu/</v>
      </c>
      <c r="G1101" s="2" t="str">
        <f t="shared" ca="1" si="0"/>
        <v>New York Law School</v>
      </c>
      <c r="H1101" s="5" t="str">
        <f t="shared" ca="1" si="1"/>
        <v>New York Law School</v>
      </c>
      <c r="I1101" s="3" t="str">
        <f t="shared" ca="1" si="2"/>
        <v>'New York Law School',</v>
      </c>
    </row>
    <row r="1102" spans="1:9">
      <c r="A1102" s="1" t="s">
        <v>1100</v>
      </c>
      <c r="B1102" s="3" t="str">
        <f ca="1">IFERROR(__xludf.DUMMYFUNCTION("SPLIT(A1102,"","")"),"US")</f>
        <v>US</v>
      </c>
      <c r="C1102" s="3" t="str">
        <f ca="1">IFERROR(__xludf.DUMMYFUNCTION("""COMPUTED_VALUE"""),"New York Medical College")</f>
        <v>New York Medical College</v>
      </c>
      <c r="D1102" s="4" t="str">
        <f ca="1">IFERROR(__xludf.DUMMYFUNCTION("""COMPUTED_VALUE"""),"http://www.nymc.edu/")</f>
        <v>http://www.nymc.edu/</v>
      </c>
      <c r="G1102" s="2" t="str">
        <f t="shared" ca="1" si="0"/>
        <v>New York Medical College</v>
      </c>
      <c r="H1102" s="5" t="str">
        <f t="shared" ca="1" si="1"/>
        <v>New York Medical College</v>
      </c>
      <c r="I1102" s="3" t="str">
        <f t="shared" ca="1" si="2"/>
        <v>'New York Medical College',</v>
      </c>
    </row>
    <row r="1103" spans="1:9">
      <c r="A1103" s="1" t="s">
        <v>1101</v>
      </c>
      <c r="B1103" s="3" t="str">
        <f ca="1">IFERROR(__xludf.DUMMYFUNCTION("SPLIT(A1103,"","")"),"US")</f>
        <v>US</v>
      </c>
      <c r="C1103" s="3" t="str">
        <f ca="1">IFERROR(__xludf.DUMMYFUNCTION("""COMPUTED_VALUE"""),"New York School of Interior Design")</f>
        <v>New York School of Interior Design</v>
      </c>
      <c r="D1103" s="4" t="str">
        <f ca="1">IFERROR(__xludf.DUMMYFUNCTION("""COMPUTED_VALUE"""),"http://www.nysid.edu/")</f>
        <v>http://www.nysid.edu/</v>
      </c>
      <c r="G1103" s="2" t="str">
        <f t="shared" ca="1" si="0"/>
        <v>New York School of Interior Design</v>
      </c>
      <c r="H1103" s="5" t="str">
        <f t="shared" ca="1" si="1"/>
        <v>New York School of Interior Design</v>
      </c>
      <c r="I1103" s="3" t="str">
        <f t="shared" ca="1" si="2"/>
        <v>'New York School of Interior Design',</v>
      </c>
    </row>
    <row r="1104" spans="1:9">
      <c r="A1104" s="1" t="s">
        <v>1102</v>
      </c>
      <c r="B1104" s="3" t="str">
        <f ca="1">IFERROR(__xludf.DUMMYFUNCTION("SPLIT(A1104,"","")"),"US")</f>
        <v>US</v>
      </c>
      <c r="C1104" s="3" t="str">
        <f ca="1">IFERROR(__xludf.DUMMYFUNCTION("""COMPUTED_VALUE"""),"New York University")</f>
        <v>New York University</v>
      </c>
      <c r="D1104" s="4" t="str">
        <f ca="1">IFERROR(__xludf.DUMMYFUNCTION("""COMPUTED_VALUE"""),"http://www.nyu.edu/")</f>
        <v>http://www.nyu.edu/</v>
      </c>
      <c r="G1104" s="2" t="str">
        <f t="shared" ca="1" si="0"/>
        <v>New York University</v>
      </c>
      <c r="H1104" s="5" t="str">
        <f t="shared" ca="1" si="1"/>
        <v>New York University</v>
      </c>
      <c r="I1104" s="3" t="str">
        <f t="shared" ca="1" si="2"/>
        <v>'New York University',</v>
      </c>
    </row>
    <row r="1105" spans="1:9">
      <c r="A1105" s="1" t="s">
        <v>1103</v>
      </c>
      <c r="B1105" s="3" t="str">
        <f ca="1">IFERROR(__xludf.DUMMYFUNCTION("SPLIT(A1105,"","")"),"US")</f>
        <v>US</v>
      </c>
      <c r="C1105" s="3" t="str">
        <f ca="1">IFERROR(__xludf.DUMMYFUNCTION("""COMPUTED_VALUE"""),"Niagara University")</f>
        <v>Niagara University</v>
      </c>
      <c r="D1105" s="4" t="str">
        <f ca="1">IFERROR(__xludf.DUMMYFUNCTION("""COMPUTED_VALUE"""),"http://www.niagara.edu/")</f>
        <v>http://www.niagara.edu/</v>
      </c>
      <c r="G1105" s="2" t="str">
        <f t="shared" ca="1" si="0"/>
        <v>Niagara University</v>
      </c>
      <c r="H1105" s="5" t="str">
        <f t="shared" ca="1" si="1"/>
        <v>Niagara University</v>
      </c>
      <c r="I1105" s="3" t="str">
        <f t="shared" ca="1" si="2"/>
        <v>'Niagara University',</v>
      </c>
    </row>
    <row r="1106" spans="1:9">
      <c r="A1106" s="1" t="s">
        <v>1104</v>
      </c>
      <c r="B1106" s="3" t="str">
        <f ca="1">IFERROR(__xludf.DUMMYFUNCTION("SPLIT(A1106,"","")"),"US")</f>
        <v>US</v>
      </c>
      <c r="C1106" s="3" t="str">
        <f ca="1">IFERROR(__xludf.DUMMYFUNCTION("""COMPUTED_VALUE"""),"Nicholls State University")</f>
        <v>Nicholls State University</v>
      </c>
      <c r="D1106" s="4" t="str">
        <f ca="1">IFERROR(__xludf.DUMMYFUNCTION("""COMPUTED_VALUE"""),"http://www.nicholls.edu/")</f>
        <v>http://www.nicholls.edu/</v>
      </c>
      <c r="G1106" s="2" t="str">
        <f t="shared" ca="1" si="0"/>
        <v>Nicholls State University</v>
      </c>
      <c r="H1106" s="5" t="str">
        <f t="shared" ca="1" si="1"/>
        <v>Nicholls State University</v>
      </c>
      <c r="I1106" s="3" t="str">
        <f t="shared" ca="1" si="2"/>
        <v>'Nicholls State University',</v>
      </c>
    </row>
    <row r="1107" spans="1:9">
      <c r="A1107" s="1" t="s">
        <v>1105</v>
      </c>
      <c r="B1107" s="3" t="str">
        <f ca="1">IFERROR(__xludf.DUMMYFUNCTION("SPLIT(A1107,"","")"),"US")</f>
        <v>US</v>
      </c>
      <c r="C1107" s="3" t="str">
        <f ca="1">IFERROR(__xludf.DUMMYFUNCTION("""COMPUTED_VALUE"""),"Nichols College")</f>
        <v>Nichols College</v>
      </c>
      <c r="D1107" s="4" t="str">
        <f ca="1">IFERROR(__xludf.DUMMYFUNCTION("""COMPUTED_VALUE"""),"http://www.nichols.edu/")</f>
        <v>http://www.nichols.edu/</v>
      </c>
      <c r="G1107" s="2" t="str">
        <f t="shared" ca="1" si="0"/>
        <v>Nichols College</v>
      </c>
      <c r="H1107" s="5" t="str">
        <f t="shared" ca="1" si="1"/>
        <v>Nichols College</v>
      </c>
      <c r="I1107" s="3" t="str">
        <f t="shared" ca="1" si="2"/>
        <v>'Nichols College',</v>
      </c>
    </row>
    <row r="1108" spans="1:9">
      <c r="A1108" s="1" t="s">
        <v>1106</v>
      </c>
      <c r="B1108" s="3" t="str">
        <f ca="1">IFERROR(__xludf.DUMMYFUNCTION("SPLIT(A1108,"","")"),"US")</f>
        <v>US</v>
      </c>
      <c r="C1108" s="3" t="str">
        <f ca="1">IFERROR(__xludf.DUMMYFUNCTION("""COMPUTED_VALUE"""),"Norfolk State University")</f>
        <v>Norfolk State University</v>
      </c>
      <c r="D1108" s="4" t="str">
        <f ca="1">IFERROR(__xludf.DUMMYFUNCTION("""COMPUTED_VALUE"""),"http://www.nsu.edu/")</f>
        <v>http://www.nsu.edu/</v>
      </c>
      <c r="G1108" s="2" t="str">
        <f t="shared" ca="1" si="0"/>
        <v>Norfolk State University</v>
      </c>
      <c r="H1108" s="5" t="str">
        <f t="shared" ca="1" si="1"/>
        <v>Norfolk State University</v>
      </c>
      <c r="I1108" s="3" t="str">
        <f t="shared" ca="1" si="2"/>
        <v>'Norfolk State University',</v>
      </c>
    </row>
    <row r="1109" spans="1:9">
      <c r="A1109" s="1" t="s">
        <v>1107</v>
      </c>
      <c r="B1109" s="3" t="str">
        <f ca="1">IFERROR(__xludf.DUMMYFUNCTION("SPLIT(A1109,"","")"),"US")</f>
        <v>US</v>
      </c>
      <c r="C1109" s="3" t="str">
        <f ca="1">IFERROR(__xludf.DUMMYFUNCTION("""COMPUTED_VALUE"""),"North Carolina Agricultural and Technical State University")</f>
        <v>North Carolina Agricultural and Technical State University</v>
      </c>
      <c r="D1109" s="4" t="str">
        <f ca="1">IFERROR(__xludf.DUMMYFUNCTION("""COMPUTED_VALUE"""),"http://www.ncat.edu/")</f>
        <v>http://www.ncat.edu/</v>
      </c>
      <c r="G1109" s="2" t="str">
        <f t="shared" ca="1" si="0"/>
        <v>North Carolina Agricultural and Technical State University</v>
      </c>
      <c r="H1109" s="5" t="str">
        <f t="shared" ca="1" si="1"/>
        <v>North Carolina Agricultural and Technical State University</v>
      </c>
      <c r="I1109" s="3" t="str">
        <f t="shared" ca="1" si="2"/>
        <v>'North Carolina Agricultural and Technical State University',</v>
      </c>
    </row>
    <row r="1110" spans="1:9">
      <c r="A1110" s="1" t="s">
        <v>1108</v>
      </c>
      <c r="B1110" s="3" t="str">
        <f ca="1">IFERROR(__xludf.DUMMYFUNCTION("SPLIT(A1110,"","")"),"US")</f>
        <v>US</v>
      </c>
      <c r="C1110" s="3" t="str">
        <f ca="1">IFERROR(__xludf.DUMMYFUNCTION("""COMPUTED_VALUE"""),"North Carolina Central University")</f>
        <v>North Carolina Central University</v>
      </c>
      <c r="D1110" s="4" t="str">
        <f ca="1">IFERROR(__xludf.DUMMYFUNCTION("""COMPUTED_VALUE"""),"http://www.nccu.edu/")</f>
        <v>http://www.nccu.edu/</v>
      </c>
      <c r="G1110" s="2" t="str">
        <f t="shared" ca="1" si="0"/>
        <v>North Carolina Central University</v>
      </c>
      <c r="H1110" s="5" t="str">
        <f t="shared" ca="1" si="1"/>
        <v>North Carolina Central University</v>
      </c>
      <c r="I1110" s="3" t="str">
        <f t="shared" ca="1" si="2"/>
        <v>'North Carolina Central University',</v>
      </c>
    </row>
    <row r="1111" spans="1:9">
      <c r="A1111" s="1" t="s">
        <v>1109</v>
      </c>
      <c r="B1111" s="3" t="str">
        <f ca="1">IFERROR(__xludf.DUMMYFUNCTION("SPLIT(A1111,"","")"),"US")</f>
        <v>US</v>
      </c>
      <c r="C1111" s="3" t="str">
        <f ca="1">IFERROR(__xludf.DUMMYFUNCTION("""COMPUTED_VALUE"""),"North Carolina School of the Arts")</f>
        <v>North Carolina School of the Arts</v>
      </c>
      <c r="D1111" s="4" t="str">
        <f ca="1">IFERROR(__xludf.DUMMYFUNCTION("""COMPUTED_VALUE"""),"http://www.ncarts.edu/")</f>
        <v>http://www.ncarts.edu/</v>
      </c>
      <c r="G1111" s="2" t="str">
        <f t="shared" ca="1" si="0"/>
        <v>North Carolina School of the Arts</v>
      </c>
      <c r="H1111" s="5" t="str">
        <f t="shared" ca="1" si="1"/>
        <v>North Carolina School of the Arts</v>
      </c>
      <c r="I1111" s="3" t="str">
        <f t="shared" ca="1" si="2"/>
        <v>'North Carolina School of the Arts',</v>
      </c>
    </row>
    <row r="1112" spans="1:9">
      <c r="A1112" s="1" t="s">
        <v>1110</v>
      </c>
      <c r="B1112" s="3" t="str">
        <f ca="1">IFERROR(__xludf.DUMMYFUNCTION("SPLIT(A1112,"","")"),"US")</f>
        <v>US</v>
      </c>
      <c r="C1112" s="3" t="str">
        <f ca="1">IFERROR(__xludf.DUMMYFUNCTION("""COMPUTED_VALUE"""),"North Carolina State University")</f>
        <v>North Carolina State University</v>
      </c>
      <c r="D1112" s="4" t="str">
        <f ca="1">IFERROR(__xludf.DUMMYFUNCTION("""COMPUTED_VALUE"""),"http://www.ncsu.edu/")</f>
        <v>http://www.ncsu.edu/</v>
      </c>
      <c r="G1112" s="2" t="str">
        <f t="shared" ca="1" si="0"/>
        <v>North Carolina State University</v>
      </c>
      <c r="H1112" s="5" t="str">
        <f t="shared" ca="1" si="1"/>
        <v>North Carolina State University</v>
      </c>
      <c r="I1112" s="3" t="str">
        <f t="shared" ca="1" si="2"/>
        <v>'North Carolina State University',</v>
      </c>
    </row>
    <row r="1113" spans="1:9">
      <c r="A1113" s="1" t="s">
        <v>1111</v>
      </c>
      <c r="B1113" s="3" t="str">
        <f ca="1">IFERROR(__xludf.DUMMYFUNCTION("SPLIT(A1113,"","")"),"US")</f>
        <v>US</v>
      </c>
      <c r="C1113" s="3" t="str">
        <f ca="1">IFERROR(__xludf.DUMMYFUNCTION("""COMPUTED_VALUE"""),"North Carolina Wesleyan College")</f>
        <v>North Carolina Wesleyan College</v>
      </c>
      <c r="D1113" s="4" t="str">
        <f ca="1">IFERROR(__xludf.DUMMYFUNCTION("""COMPUTED_VALUE"""),"http://www.ncwc.edu/")</f>
        <v>http://www.ncwc.edu/</v>
      </c>
      <c r="G1113" s="2" t="str">
        <f t="shared" ca="1" si="0"/>
        <v>North Carolina Wesleyan College</v>
      </c>
      <c r="H1113" s="5" t="str">
        <f t="shared" ca="1" si="1"/>
        <v>North Carolina Wesleyan College</v>
      </c>
      <c r="I1113" s="3" t="str">
        <f t="shared" ca="1" si="2"/>
        <v>'North Carolina Wesleyan College',</v>
      </c>
    </row>
    <row r="1114" spans="1:9">
      <c r="A1114" s="1" t="s">
        <v>1112</v>
      </c>
      <c r="B1114" s="3" t="str">
        <f ca="1">IFERROR(__xludf.DUMMYFUNCTION("SPLIT(A1114,"","")"),"US")</f>
        <v>US</v>
      </c>
      <c r="C1114" s="3" t="str">
        <f ca="1">IFERROR(__xludf.DUMMYFUNCTION("""COMPUTED_VALUE"""),"North Central Bible College")</f>
        <v>North Central Bible College</v>
      </c>
      <c r="D1114" s="4" t="str">
        <f ca="1">IFERROR(__xludf.DUMMYFUNCTION("""COMPUTED_VALUE"""),"http://www.ncbc.edu/")</f>
        <v>http://www.ncbc.edu/</v>
      </c>
      <c r="G1114" s="2" t="str">
        <f t="shared" ca="1" si="0"/>
        <v>North Central Bible College</v>
      </c>
      <c r="H1114" s="5" t="str">
        <f t="shared" ca="1" si="1"/>
        <v>North Central Bible College</v>
      </c>
      <c r="I1114" s="3" t="str">
        <f t="shared" ca="1" si="2"/>
        <v>'North Central Bible College',</v>
      </c>
    </row>
    <row r="1115" spans="1:9">
      <c r="A1115" s="1" t="s">
        <v>1113</v>
      </c>
      <c r="B1115" s="3" t="str">
        <f ca="1">IFERROR(__xludf.DUMMYFUNCTION("SPLIT(A1115,"","")"),"US")</f>
        <v>US</v>
      </c>
      <c r="C1115" s="3" t="str">
        <f ca="1">IFERROR(__xludf.DUMMYFUNCTION("""COMPUTED_VALUE"""),"North Central College")</f>
        <v>North Central College</v>
      </c>
      <c r="D1115" s="4" t="str">
        <f ca="1">IFERROR(__xludf.DUMMYFUNCTION("""COMPUTED_VALUE"""),"http://www.noctrl.edu/")</f>
        <v>http://www.noctrl.edu/</v>
      </c>
      <c r="G1115" s="2" t="str">
        <f t="shared" ca="1" si="0"/>
        <v>North Central College</v>
      </c>
      <c r="H1115" s="5" t="str">
        <f t="shared" ca="1" si="1"/>
        <v>North Central College</v>
      </c>
      <c r="I1115" s="3" t="str">
        <f t="shared" ca="1" si="2"/>
        <v>'North Central College',</v>
      </c>
    </row>
    <row r="1116" spans="1:9">
      <c r="A1116" s="1" t="s">
        <v>1114</v>
      </c>
      <c r="B1116" s="3" t="str">
        <f ca="1">IFERROR(__xludf.DUMMYFUNCTION("SPLIT(A1116,"","")"),"US")</f>
        <v>US</v>
      </c>
      <c r="C1116" s="3" t="str">
        <f ca="1">IFERROR(__xludf.DUMMYFUNCTION("""COMPUTED_VALUE"""),"Northcentral University")</f>
        <v>Northcentral University</v>
      </c>
      <c r="D1116" s="4" t="str">
        <f ca="1">IFERROR(__xludf.DUMMYFUNCTION("""COMPUTED_VALUE"""),"http://www.ncu.edu/")</f>
        <v>http://www.ncu.edu/</v>
      </c>
      <c r="G1116" s="2" t="str">
        <f t="shared" ca="1" si="0"/>
        <v>Northcentral University</v>
      </c>
      <c r="H1116" s="5" t="str">
        <f t="shared" ca="1" si="1"/>
        <v>Northcentral University</v>
      </c>
      <c r="I1116" s="3" t="str">
        <f t="shared" ca="1" si="2"/>
        <v>'Northcentral University',</v>
      </c>
    </row>
    <row r="1117" spans="1:9">
      <c r="A1117" s="1" t="s">
        <v>1115</v>
      </c>
      <c r="B1117" s="3" t="str">
        <f ca="1">IFERROR(__xludf.DUMMYFUNCTION("SPLIT(A1117,"","")"),"US")</f>
        <v>US</v>
      </c>
      <c r="C1117" s="3" t="str">
        <f ca="1">IFERROR(__xludf.DUMMYFUNCTION("""COMPUTED_VALUE"""),"North Dakota State University")</f>
        <v>North Dakota State University</v>
      </c>
      <c r="D1117" s="4" t="str">
        <f ca="1">IFERROR(__xludf.DUMMYFUNCTION("""COMPUTED_VALUE"""),"http://www.ndsu.nodak.edu/")</f>
        <v>http://www.ndsu.nodak.edu/</v>
      </c>
      <c r="G1117" s="2" t="str">
        <f t="shared" ca="1" si="0"/>
        <v>North Dakota State University</v>
      </c>
      <c r="H1117" s="5" t="str">
        <f t="shared" ca="1" si="1"/>
        <v>North Dakota State University</v>
      </c>
      <c r="I1117" s="3" t="str">
        <f t="shared" ca="1" si="2"/>
        <v>'North Dakota State University',</v>
      </c>
    </row>
    <row r="1118" spans="1:9">
      <c r="A1118" s="1" t="s">
        <v>1116</v>
      </c>
      <c r="B1118" s="3" t="str">
        <f ca="1">IFERROR(__xludf.DUMMYFUNCTION("SPLIT(A1118,"","")"),"US")</f>
        <v>US</v>
      </c>
      <c r="C1118" s="3" t="str">
        <f ca="1">IFERROR(__xludf.DUMMYFUNCTION("""COMPUTED_VALUE"""),"Northeastern Illinois University")</f>
        <v>Northeastern Illinois University</v>
      </c>
      <c r="D1118" s="4" t="str">
        <f ca="1">IFERROR(__xludf.DUMMYFUNCTION("""COMPUTED_VALUE"""),"http://www.neiu.edu/")</f>
        <v>http://www.neiu.edu/</v>
      </c>
      <c r="G1118" s="2" t="str">
        <f t="shared" ca="1" si="0"/>
        <v>Northeastern Illinois University</v>
      </c>
      <c r="H1118" s="5" t="str">
        <f t="shared" ca="1" si="1"/>
        <v>Northeastern Illinois University</v>
      </c>
      <c r="I1118" s="3" t="str">
        <f t="shared" ca="1" si="2"/>
        <v>'Northeastern Illinois University',</v>
      </c>
    </row>
    <row r="1119" spans="1:9">
      <c r="A1119" s="1" t="s">
        <v>1117</v>
      </c>
      <c r="B1119" s="3" t="str">
        <f ca="1">IFERROR(__xludf.DUMMYFUNCTION("SPLIT(A1119,"","")"),"US")</f>
        <v>US</v>
      </c>
      <c r="C1119" s="3" t="str">
        <f ca="1">IFERROR(__xludf.DUMMYFUNCTION("""COMPUTED_VALUE"""),"Northeastern Ohio University College of Medicine")</f>
        <v>Northeastern Ohio University College of Medicine</v>
      </c>
      <c r="D1119" s="4" t="str">
        <f ca="1">IFERROR(__xludf.DUMMYFUNCTION("""COMPUTED_VALUE"""),"http://www.neoucom.edu/")</f>
        <v>http://www.neoucom.edu/</v>
      </c>
      <c r="G1119" s="2" t="str">
        <f t="shared" ca="1" si="0"/>
        <v>Northeastern Ohio University College of Medicine</v>
      </c>
      <c r="H1119" s="5" t="str">
        <f t="shared" ca="1" si="1"/>
        <v>Northeastern Ohio University College of Medicine</v>
      </c>
      <c r="I1119" s="3" t="str">
        <f t="shared" ca="1" si="2"/>
        <v>'Northeastern Ohio University College of Medicine',</v>
      </c>
    </row>
    <row r="1120" spans="1:9">
      <c r="A1120" s="1" t="s">
        <v>1118</v>
      </c>
      <c r="B1120" s="3" t="str">
        <f ca="1">IFERROR(__xludf.DUMMYFUNCTION("SPLIT(A1120,"","")"),"US")</f>
        <v>US</v>
      </c>
      <c r="C1120" s="3" t="str">
        <f ca="1">IFERROR(__xludf.DUMMYFUNCTION("""COMPUTED_VALUE"""),"Northeastern State University")</f>
        <v>Northeastern State University</v>
      </c>
      <c r="D1120" s="4" t="str">
        <f ca="1">IFERROR(__xludf.DUMMYFUNCTION("""COMPUTED_VALUE"""),"http://www.nsuok.edu/")</f>
        <v>http://www.nsuok.edu/</v>
      </c>
      <c r="G1120" s="2" t="str">
        <f t="shared" ca="1" si="0"/>
        <v>Northeastern State University</v>
      </c>
      <c r="H1120" s="5" t="str">
        <f t="shared" ca="1" si="1"/>
        <v>Northeastern State University</v>
      </c>
      <c r="I1120" s="3" t="str">
        <f t="shared" ca="1" si="2"/>
        <v>'Northeastern State University',</v>
      </c>
    </row>
    <row r="1121" spans="1:9">
      <c r="A1121" s="1" t="s">
        <v>1119</v>
      </c>
      <c r="B1121" s="3" t="str">
        <f ca="1">IFERROR(__xludf.DUMMYFUNCTION("SPLIT(A1121,"","")"),"US")</f>
        <v>US</v>
      </c>
      <c r="C1121" s="3" t="str">
        <f ca="1">IFERROR(__xludf.DUMMYFUNCTION("""COMPUTED_VALUE"""),"Northeastern University")</f>
        <v>Northeastern University</v>
      </c>
      <c r="D1121" s="4" t="str">
        <f ca="1">IFERROR(__xludf.DUMMYFUNCTION("""COMPUTED_VALUE"""),"http://www.neu.edu/")</f>
        <v>http://www.neu.edu/</v>
      </c>
      <c r="G1121" s="2" t="str">
        <f t="shared" ca="1" si="0"/>
        <v>Northeastern University</v>
      </c>
      <c r="H1121" s="5" t="str">
        <f t="shared" ca="1" si="1"/>
        <v>Northeastern University</v>
      </c>
      <c r="I1121" s="3" t="str">
        <f t="shared" ca="1" si="2"/>
        <v>'Northeastern University',</v>
      </c>
    </row>
    <row r="1122" spans="1:9">
      <c r="A1122" s="1" t="s">
        <v>1120</v>
      </c>
      <c r="B1122" s="3" t="str">
        <f ca="1">IFERROR(__xludf.DUMMYFUNCTION("SPLIT(A1122,"","")"),"US")</f>
        <v>US</v>
      </c>
      <c r="C1122" s="3" t="str">
        <f ca="1">IFERROR(__xludf.DUMMYFUNCTION("""COMPUTED_VALUE"""),"Northern Arizona University")</f>
        <v>Northern Arizona University</v>
      </c>
      <c r="D1122" s="4" t="str">
        <f ca="1">IFERROR(__xludf.DUMMYFUNCTION("""COMPUTED_VALUE"""),"http://www.nau.edu/")</f>
        <v>http://www.nau.edu/</v>
      </c>
      <c r="G1122" s="2" t="str">
        <f t="shared" ca="1" si="0"/>
        <v>Northern Arizona University</v>
      </c>
      <c r="H1122" s="5" t="str">
        <f t="shared" ca="1" si="1"/>
        <v>Northern Arizona University</v>
      </c>
      <c r="I1122" s="3" t="str">
        <f t="shared" ca="1" si="2"/>
        <v>'Northern Arizona University',</v>
      </c>
    </row>
    <row r="1123" spans="1:9">
      <c r="A1123" s="1" t="s">
        <v>1121</v>
      </c>
      <c r="B1123" s="3" t="str">
        <f ca="1">IFERROR(__xludf.DUMMYFUNCTION("SPLIT(A1123,"","")"),"US")</f>
        <v>US</v>
      </c>
      <c r="C1123" s="3" t="str">
        <f ca="1">IFERROR(__xludf.DUMMYFUNCTION("""COMPUTED_VALUE"""),"Northern Illinois University")</f>
        <v>Northern Illinois University</v>
      </c>
      <c r="D1123" s="4" t="str">
        <f ca="1">IFERROR(__xludf.DUMMYFUNCTION("""COMPUTED_VALUE"""),"http://www.niu.edu/")</f>
        <v>http://www.niu.edu/</v>
      </c>
      <c r="G1123" s="2" t="str">
        <f t="shared" ca="1" si="0"/>
        <v>Northern Illinois University</v>
      </c>
      <c r="H1123" s="5" t="str">
        <f t="shared" ca="1" si="1"/>
        <v>Northern Illinois University</v>
      </c>
      <c r="I1123" s="3" t="str">
        <f t="shared" ca="1" si="2"/>
        <v>'Northern Illinois University',</v>
      </c>
    </row>
    <row r="1124" spans="1:9">
      <c r="A1124" s="1" t="s">
        <v>1122</v>
      </c>
      <c r="B1124" s="3" t="str">
        <f ca="1">IFERROR(__xludf.DUMMYFUNCTION("SPLIT(A1124,"","")"),"US")</f>
        <v>US</v>
      </c>
      <c r="C1124" s="3" t="str">
        <f ca="1">IFERROR(__xludf.DUMMYFUNCTION("""COMPUTED_VALUE"""),"Northern Kentucky University")</f>
        <v>Northern Kentucky University</v>
      </c>
      <c r="D1124" s="4" t="str">
        <f ca="1">IFERROR(__xludf.DUMMYFUNCTION("""COMPUTED_VALUE"""),"http://www.nku.edu/")</f>
        <v>http://www.nku.edu/</v>
      </c>
      <c r="G1124" s="2" t="str">
        <f t="shared" ca="1" si="0"/>
        <v>Northern Kentucky University</v>
      </c>
      <c r="H1124" s="5" t="str">
        <f t="shared" ca="1" si="1"/>
        <v>Northern Kentucky University</v>
      </c>
      <c r="I1124" s="3" t="str">
        <f t="shared" ca="1" si="2"/>
        <v>'Northern Kentucky University',</v>
      </c>
    </row>
    <row r="1125" spans="1:9">
      <c r="A1125" s="1" t="s">
        <v>1123</v>
      </c>
      <c r="B1125" s="3" t="str">
        <f ca="1">IFERROR(__xludf.DUMMYFUNCTION("SPLIT(A1125,"","")"),"US")</f>
        <v>US</v>
      </c>
      <c r="C1125" s="3" t="str">
        <f ca="1">IFERROR(__xludf.DUMMYFUNCTION("""COMPUTED_VALUE"""),"Northern Michigan University")</f>
        <v>Northern Michigan University</v>
      </c>
      <c r="D1125" s="4" t="str">
        <f ca="1">IFERROR(__xludf.DUMMYFUNCTION("""COMPUTED_VALUE"""),"http://www.nmu.edu/")</f>
        <v>http://www.nmu.edu/</v>
      </c>
      <c r="G1125" s="2" t="str">
        <f t="shared" ca="1" si="0"/>
        <v>Northern Michigan University</v>
      </c>
      <c r="H1125" s="5" t="str">
        <f t="shared" ca="1" si="1"/>
        <v>Northern Michigan University</v>
      </c>
      <c r="I1125" s="3" t="str">
        <f t="shared" ca="1" si="2"/>
        <v>'Northern Michigan University',</v>
      </c>
    </row>
    <row r="1126" spans="1:9">
      <c r="A1126" s="1" t="s">
        <v>1124</v>
      </c>
      <c r="B1126" s="3" t="str">
        <f ca="1">IFERROR(__xludf.DUMMYFUNCTION("SPLIT(A1126,"","")"),"US")</f>
        <v>US</v>
      </c>
      <c r="C1126" s="3" t="str">
        <f ca="1">IFERROR(__xludf.DUMMYFUNCTION("""COMPUTED_VALUE"""),"Northern State University")</f>
        <v>Northern State University</v>
      </c>
      <c r="D1126" s="4" t="str">
        <f ca="1">IFERROR(__xludf.DUMMYFUNCTION("""COMPUTED_VALUE"""),"http://www.northern.edu/")</f>
        <v>http://www.northern.edu/</v>
      </c>
      <c r="G1126" s="2" t="str">
        <f t="shared" ca="1" si="0"/>
        <v>Northern State University</v>
      </c>
      <c r="H1126" s="5" t="str">
        <f t="shared" ca="1" si="1"/>
        <v>Northern State University</v>
      </c>
      <c r="I1126" s="3" t="str">
        <f t="shared" ca="1" si="2"/>
        <v>'Northern State University',</v>
      </c>
    </row>
    <row r="1127" spans="1:9">
      <c r="A1127" s="1" t="s">
        <v>1125</v>
      </c>
      <c r="B1127" s="3" t="str">
        <f ca="1">IFERROR(__xludf.DUMMYFUNCTION("SPLIT(A1127,"","")"),"US")</f>
        <v>US</v>
      </c>
      <c r="C1127" s="3" t="str">
        <f ca="1">IFERROR(__xludf.DUMMYFUNCTION("""COMPUTED_VALUE"""),"Northern Virginia Community College")</f>
        <v>Northern Virginia Community College</v>
      </c>
      <c r="D1127" s="4" t="str">
        <f ca="1">IFERROR(__xludf.DUMMYFUNCTION("""COMPUTED_VALUE"""),"http://www.nv.cc.va.us/")</f>
        <v>http://www.nv.cc.va.us/</v>
      </c>
      <c r="G1127" s="2" t="str">
        <f t="shared" ca="1" si="0"/>
        <v>Northern Virginia Community College</v>
      </c>
      <c r="H1127" s="5" t="str">
        <f t="shared" ca="1" si="1"/>
        <v>Northern Virginia Community College</v>
      </c>
      <c r="I1127" s="3" t="str">
        <f t="shared" ca="1" si="2"/>
        <v>'Northern Virginia Community College',</v>
      </c>
    </row>
    <row r="1128" spans="1:9">
      <c r="A1128" s="1" t="s">
        <v>1126</v>
      </c>
      <c r="B1128" s="3" t="str">
        <f ca="1">IFERROR(__xludf.DUMMYFUNCTION("SPLIT(A1128,"","")"),"US")</f>
        <v>US</v>
      </c>
      <c r="C1128" s="3" t="str">
        <f ca="1">IFERROR(__xludf.DUMMYFUNCTION("""COMPUTED_VALUE"""),"Northface University")</f>
        <v>Northface University</v>
      </c>
      <c r="D1128" s="4" t="str">
        <f ca="1">IFERROR(__xludf.DUMMYFUNCTION("""COMPUTED_VALUE"""),"http://www.northface.edu/")</f>
        <v>http://www.northface.edu/</v>
      </c>
      <c r="G1128" s="2" t="str">
        <f t="shared" ca="1" si="0"/>
        <v>Northface University</v>
      </c>
      <c r="H1128" s="5" t="str">
        <f t="shared" ca="1" si="1"/>
        <v>Northface University</v>
      </c>
      <c r="I1128" s="3" t="str">
        <f t="shared" ca="1" si="2"/>
        <v>'Northface University',</v>
      </c>
    </row>
    <row r="1129" spans="1:9">
      <c r="A1129" s="1" t="s">
        <v>1127</v>
      </c>
      <c r="B1129" s="3" t="str">
        <f ca="1">IFERROR(__xludf.DUMMYFUNCTION("SPLIT(A1129,"","")"),"US")</f>
        <v>US</v>
      </c>
      <c r="C1129" s="3" t="str">
        <f ca="1">IFERROR(__xludf.DUMMYFUNCTION("""COMPUTED_VALUE"""),"North Georgia College")</f>
        <v>North Georgia College</v>
      </c>
      <c r="D1129" s="4" t="str">
        <f ca="1">IFERROR(__xludf.DUMMYFUNCTION("""COMPUTED_VALUE"""),"http://www.ngc.peachnet.edu/")</f>
        <v>http://www.ngc.peachnet.edu/</v>
      </c>
      <c r="G1129" s="2" t="str">
        <f t="shared" ca="1" si="0"/>
        <v>North Georgia College</v>
      </c>
      <c r="H1129" s="5" t="str">
        <f t="shared" ca="1" si="1"/>
        <v>North Georgia College</v>
      </c>
      <c r="I1129" s="3" t="str">
        <f t="shared" ca="1" si="2"/>
        <v>'North Georgia College',</v>
      </c>
    </row>
    <row r="1130" spans="1:9">
      <c r="A1130" s="1" t="s">
        <v>1128</v>
      </c>
      <c r="B1130" s="3" t="str">
        <f ca="1">IFERROR(__xludf.DUMMYFUNCTION("SPLIT(A1130,"","")"),"US")</f>
        <v>US</v>
      </c>
      <c r="C1130" s="3" t="str">
        <f ca="1">IFERROR(__xludf.DUMMYFUNCTION("""COMPUTED_VALUE"""),"North Greenville College")</f>
        <v>North Greenville College</v>
      </c>
      <c r="D1130" s="4" t="str">
        <f ca="1">IFERROR(__xludf.DUMMYFUNCTION("""COMPUTED_VALUE"""),"http://www.ngc.edu/")</f>
        <v>http://www.ngc.edu/</v>
      </c>
      <c r="G1130" s="2" t="str">
        <f t="shared" ca="1" si="0"/>
        <v>North Greenville College</v>
      </c>
      <c r="H1130" s="5" t="str">
        <f t="shared" ca="1" si="1"/>
        <v>North Greenville College</v>
      </c>
      <c r="I1130" s="3" t="str">
        <f t="shared" ca="1" si="2"/>
        <v>'North Greenville College',</v>
      </c>
    </row>
    <row r="1131" spans="1:9">
      <c r="A1131" s="1" t="s">
        <v>1129</v>
      </c>
      <c r="B1131" s="3" t="str">
        <f ca="1">IFERROR(__xludf.DUMMYFUNCTION("SPLIT(A1131,"","")"),"US")</f>
        <v>US</v>
      </c>
      <c r="C1131" s="3" t="str">
        <f ca="1">IFERROR(__xludf.DUMMYFUNCTION("""COMPUTED_VALUE"""),"Northland College")</f>
        <v>Northland College</v>
      </c>
      <c r="D1131" s="4" t="str">
        <f ca="1">IFERROR(__xludf.DUMMYFUNCTION("""COMPUTED_VALUE"""),"http://www.northland.edu/")</f>
        <v>http://www.northland.edu/</v>
      </c>
      <c r="G1131" s="2" t="str">
        <f t="shared" ca="1" si="0"/>
        <v>Northland College</v>
      </c>
      <c r="H1131" s="5" t="str">
        <f t="shared" ca="1" si="1"/>
        <v>Northland College</v>
      </c>
      <c r="I1131" s="3" t="str">
        <f t="shared" ca="1" si="2"/>
        <v>'Northland College',</v>
      </c>
    </row>
    <row r="1132" spans="1:9">
      <c r="A1132" s="1" t="s">
        <v>1130</v>
      </c>
      <c r="B1132" s="3" t="str">
        <f ca="1">IFERROR(__xludf.DUMMYFUNCTION("SPLIT(A1132,"","")"),"US")</f>
        <v>US</v>
      </c>
      <c r="C1132" s="3" t="str">
        <f ca="1">IFERROR(__xludf.DUMMYFUNCTION("""COMPUTED_VALUE"""),"North Park University")</f>
        <v>North Park University</v>
      </c>
      <c r="D1132" s="4" t="str">
        <f ca="1">IFERROR(__xludf.DUMMYFUNCTION("""COMPUTED_VALUE"""),"http://www.northpark.edu/")</f>
        <v>http://www.northpark.edu/</v>
      </c>
      <c r="G1132" s="2" t="str">
        <f t="shared" ca="1" si="0"/>
        <v>North Park University</v>
      </c>
      <c r="H1132" s="5" t="str">
        <f t="shared" ca="1" si="1"/>
        <v>North Park University</v>
      </c>
      <c r="I1132" s="3" t="str">
        <f t="shared" ca="1" si="2"/>
        <v>'North Park University',</v>
      </c>
    </row>
    <row r="1133" spans="1:9">
      <c r="A1133" s="1" t="s">
        <v>1131</v>
      </c>
      <c r="B1133" s="3" t="str">
        <f ca="1">IFERROR(__xludf.DUMMYFUNCTION("SPLIT(A1133,"","")"),"US")</f>
        <v>US</v>
      </c>
      <c r="C1133" s="3" t="str">
        <f ca="1">IFERROR(__xludf.DUMMYFUNCTION("""COMPUTED_VALUE"""),"Northwest Christian College")</f>
        <v>Northwest Christian College</v>
      </c>
      <c r="D1133" s="4" t="str">
        <f ca="1">IFERROR(__xludf.DUMMYFUNCTION("""COMPUTED_VALUE"""),"http://www.nwcc.edu/")</f>
        <v>http://www.nwcc.edu/</v>
      </c>
      <c r="G1133" s="2" t="str">
        <f t="shared" ca="1" si="0"/>
        <v>Northwest Christian College</v>
      </c>
      <c r="H1133" s="5" t="str">
        <f t="shared" ca="1" si="1"/>
        <v>Northwest Christian College</v>
      </c>
      <c r="I1133" s="3" t="str">
        <f t="shared" ca="1" si="2"/>
        <v>'Northwest Christian College',</v>
      </c>
    </row>
    <row r="1134" spans="1:9">
      <c r="A1134" s="1" t="s">
        <v>1132</v>
      </c>
      <c r="B1134" s="3" t="str">
        <f ca="1">IFERROR(__xludf.DUMMYFUNCTION("SPLIT(A1134,"","")"),"US")</f>
        <v>US</v>
      </c>
      <c r="C1134" s="3" t="str">
        <f ca="1">IFERROR(__xludf.DUMMYFUNCTION("""COMPUTED_VALUE"""),"Northwest College of Art")</f>
        <v>Northwest College of Art</v>
      </c>
      <c r="D1134" s="4" t="str">
        <f ca="1">IFERROR(__xludf.DUMMYFUNCTION("""COMPUTED_VALUE"""),"http://www.nca.edu/")</f>
        <v>http://www.nca.edu/</v>
      </c>
      <c r="G1134" s="2" t="str">
        <f t="shared" ca="1" si="0"/>
        <v>Northwest College of Art</v>
      </c>
      <c r="H1134" s="5" t="str">
        <f t="shared" ca="1" si="1"/>
        <v>Northwest College of Art</v>
      </c>
      <c r="I1134" s="3" t="str">
        <f t="shared" ca="1" si="2"/>
        <v>'Northwest College of Art',</v>
      </c>
    </row>
    <row r="1135" spans="1:9">
      <c r="A1135" s="1" t="s">
        <v>1133</v>
      </c>
      <c r="B1135" s="3" t="str">
        <f ca="1">IFERROR(__xludf.DUMMYFUNCTION("SPLIT(A1135,"","")"),"US")</f>
        <v>US</v>
      </c>
      <c r="C1135" s="3" t="str">
        <f ca="1">IFERROR(__xludf.DUMMYFUNCTION("""COMPUTED_VALUE"""),"Northwestern College Iowa")</f>
        <v>Northwestern College Iowa</v>
      </c>
      <c r="D1135" s="4" t="str">
        <f ca="1">IFERROR(__xludf.DUMMYFUNCTION("""COMPUTED_VALUE"""),"http://www.nwciowa.edu/")</f>
        <v>http://www.nwciowa.edu/</v>
      </c>
      <c r="G1135" s="2" t="str">
        <f t="shared" ca="1" si="0"/>
        <v>Northwestern College Iowa</v>
      </c>
      <c r="H1135" s="5" t="str">
        <f t="shared" ca="1" si="1"/>
        <v>Northwestern College Iowa</v>
      </c>
      <c r="I1135" s="3" t="str">
        <f t="shared" ca="1" si="2"/>
        <v>'Northwestern College Iowa',</v>
      </c>
    </row>
    <row r="1136" spans="1:9">
      <c r="A1136" s="1" t="s">
        <v>1134</v>
      </c>
      <c r="B1136" s="3" t="str">
        <f ca="1">IFERROR(__xludf.DUMMYFUNCTION("SPLIT(A1136,"","")"),"US")</f>
        <v>US</v>
      </c>
      <c r="C1136" s="3" t="str">
        <f ca="1">IFERROR(__xludf.DUMMYFUNCTION("""COMPUTED_VALUE"""),"Northwestern College of Chiropractic")</f>
        <v>Northwestern College of Chiropractic</v>
      </c>
      <c r="D1136" s="4" t="str">
        <f ca="1">IFERROR(__xludf.DUMMYFUNCTION("""COMPUTED_VALUE"""),"http://www.nwchiro.edu/")</f>
        <v>http://www.nwchiro.edu/</v>
      </c>
      <c r="G1136" s="2" t="str">
        <f t="shared" ca="1" si="0"/>
        <v>Northwestern College of Chiropractic</v>
      </c>
      <c r="H1136" s="5" t="str">
        <f t="shared" ca="1" si="1"/>
        <v>Northwestern College of Chiropractic</v>
      </c>
      <c r="I1136" s="3" t="str">
        <f t="shared" ca="1" si="2"/>
        <v>'Northwestern College of Chiropractic',</v>
      </c>
    </row>
    <row r="1137" spans="1:9">
      <c r="A1137" s="1" t="s">
        <v>1135</v>
      </c>
      <c r="B1137" s="3" t="str">
        <f ca="1">IFERROR(__xludf.DUMMYFUNCTION("SPLIT(A1137,"","")"),"US")</f>
        <v>US</v>
      </c>
      <c r="C1137" s="3" t="str">
        <f ca="1">IFERROR(__xludf.DUMMYFUNCTION("""COMPUTED_VALUE"""),"Northwestern College St. Paul")</f>
        <v>Northwestern College St. Paul</v>
      </c>
      <c r="D1137" s="4" t="str">
        <f ca="1">IFERROR(__xludf.DUMMYFUNCTION("""COMPUTED_VALUE"""),"http://www.nwc.edu/")</f>
        <v>http://www.nwc.edu/</v>
      </c>
      <c r="G1137" s="2" t="str">
        <f t="shared" ca="1" si="0"/>
        <v>Northwestern College St. Paul</v>
      </c>
      <c r="H1137" s="5" t="str">
        <f t="shared" ca="1" si="1"/>
        <v>Northwestern College St. Paul</v>
      </c>
      <c r="I1137" s="3" t="str">
        <f t="shared" ca="1" si="2"/>
        <v>'Northwestern College St. Paul',</v>
      </c>
    </row>
    <row r="1138" spans="1:9">
      <c r="A1138" s="1" t="s">
        <v>1136</v>
      </c>
      <c r="B1138" s="3" t="str">
        <f ca="1">IFERROR(__xludf.DUMMYFUNCTION("SPLIT(A1138,"","")"),"US")</f>
        <v>US</v>
      </c>
      <c r="C1138" s="3" t="str">
        <f ca="1">IFERROR(__xludf.DUMMYFUNCTION("""COMPUTED_VALUE"""),"Northwestern Oklahoma State University")</f>
        <v>Northwestern Oklahoma State University</v>
      </c>
      <c r="D1138" s="4" t="str">
        <f ca="1">IFERROR(__xludf.DUMMYFUNCTION("""COMPUTED_VALUE"""),"http://www.nwalva.edu/")</f>
        <v>http://www.nwalva.edu/</v>
      </c>
      <c r="G1138" s="2" t="str">
        <f t="shared" ca="1" si="0"/>
        <v>Northwestern Oklahoma State University</v>
      </c>
      <c r="H1138" s="5" t="str">
        <f t="shared" ca="1" si="1"/>
        <v>Northwestern Oklahoma State University</v>
      </c>
      <c r="I1138" s="3" t="str">
        <f t="shared" ca="1" si="2"/>
        <v>'Northwestern Oklahoma State University',</v>
      </c>
    </row>
    <row r="1139" spans="1:9">
      <c r="A1139" s="1" t="s">
        <v>1137</v>
      </c>
      <c r="B1139" s="3" t="str">
        <f ca="1">IFERROR(__xludf.DUMMYFUNCTION("SPLIT(A1139,"","")"),"US")</f>
        <v>US</v>
      </c>
      <c r="C1139" s="3" t="str">
        <f ca="1">IFERROR(__xludf.DUMMYFUNCTION("""COMPUTED_VALUE"""),"Northwestern State University of Louisiana")</f>
        <v>Northwestern State University of Louisiana</v>
      </c>
      <c r="D1139" s="4" t="str">
        <f ca="1">IFERROR(__xludf.DUMMYFUNCTION("""COMPUTED_VALUE"""),"http://www.nsula.edu/")</f>
        <v>http://www.nsula.edu/</v>
      </c>
      <c r="G1139" s="2" t="str">
        <f t="shared" ca="1" si="0"/>
        <v>Northwestern State University of Louisiana</v>
      </c>
      <c r="H1139" s="5" t="str">
        <f t="shared" ca="1" si="1"/>
        <v>Northwestern State University of Louisiana</v>
      </c>
      <c r="I1139" s="3" t="str">
        <f t="shared" ca="1" si="2"/>
        <v>'Northwestern State University of Louisiana',</v>
      </c>
    </row>
    <row r="1140" spans="1:9">
      <c r="A1140" s="1" t="s">
        <v>1138</v>
      </c>
      <c r="B1140" s="3" t="str">
        <f ca="1">IFERROR(__xludf.DUMMYFUNCTION("SPLIT(A1140,"","")"),"US")</f>
        <v>US</v>
      </c>
      <c r="C1140" s="3" t="str">
        <f ca="1">IFERROR(__xludf.DUMMYFUNCTION("""COMPUTED_VALUE"""),"Northwestern University")</f>
        <v>Northwestern University</v>
      </c>
      <c r="D1140" s="4" t="str">
        <f ca="1">IFERROR(__xludf.DUMMYFUNCTION("""COMPUTED_VALUE"""),"http://www.nwu.edu/")</f>
        <v>http://www.nwu.edu/</v>
      </c>
      <c r="G1140" s="2" t="str">
        <f t="shared" ca="1" si="0"/>
        <v>Northwestern University</v>
      </c>
      <c r="H1140" s="5" t="str">
        <f t="shared" ca="1" si="1"/>
        <v>Northwestern University</v>
      </c>
      <c r="I1140" s="3" t="str">
        <f t="shared" ca="1" si="2"/>
        <v>'Northwestern University',</v>
      </c>
    </row>
    <row r="1141" spans="1:9">
      <c r="A1141" s="1" t="s">
        <v>1139</v>
      </c>
      <c r="B1141" s="3" t="str">
        <f ca="1">IFERROR(__xludf.DUMMYFUNCTION("SPLIT(A1141,"","")"),"US")</f>
        <v>US</v>
      </c>
      <c r="C1141" s="3" t="str">
        <f ca="1">IFERROR(__xludf.DUMMYFUNCTION("""COMPUTED_VALUE"""),"Northwest Missouri State University")</f>
        <v>Northwest Missouri State University</v>
      </c>
      <c r="D1141" s="4" t="str">
        <f ca="1">IFERROR(__xludf.DUMMYFUNCTION("""COMPUTED_VALUE"""),"http://www.nwmissouri.edu/")</f>
        <v>http://www.nwmissouri.edu/</v>
      </c>
      <c r="G1141" s="2" t="str">
        <f t="shared" ca="1" si="0"/>
        <v>Northwest Missouri State University</v>
      </c>
      <c r="H1141" s="5" t="str">
        <f t="shared" ca="1" si="1"/>
        <v>Northwest Missouri State University</v>
      </c>
      <c r="I1141" s="3" t="str">
        <f t="shared" ca="1" si="2"/>
        <v>'Northwest Missouri State University',</v>
      </c>
    </row>
    <row r="1142" spans="1:9">
      <c r="A1142" s="1" t="s">
        <v>1140</v>
      </c>
      <c r="B1142" s="3" t="str">
        <f ca="1">IFERROR(__xludf.DUMMYFUNCTION("SPLIT(A1142,"","")"),"US")</f>
        <v>US</v>
      </c>
      <c r="C1142" s="3" t="str">
        <f ca="1">IFERROR(__xludf.DUMMYFUNCTION("""COMPUTED_VALUE"""),"Northwest Nazarene University")</f>
        <v>Northwest Nazarene University</v>
      </c>
      <c r="D1142" s="4" t="str">
        <f ca="1">IFERROR(__xludf.DUMMYFUNCTION("""COMPUTED_VALUE"""),"http://www.nnu.edu/")</f>
        <v>http://www.nnu.edu/</v>
      </c>
      <c r="G1142" s="2" t="str">
        <f t="shared" ca="1" si="0"/>
        <v>Northwest Nazarene University</v>
      </c>
      <c r="H1142" s="5" t="str">
        <f t="shared" ca="1" si="1"/>
        <v>Northwest Nazarene University</v>
      </c>
      <c r="I1142" s="3" t="str">
        <f t="shared" ca="1" si="2"/>
        <v>'Northwest Nazarene University',</v>
      </c>
    </row>
    <row r="1143" spans="1:9">
      <c r="A1143" s="1" t="s">
        <v>1141</v>
      </c>
      <c r="B1143" s="3" t="str">
        <f ca="1">IFERROR(__xludf.DUMMYFUNCTION("SPLIT(A1143,"","")"),"US")</f>
        <v>US</v>
      </c>
      <c r="C1143" s="3" t="str">
        <f ca="1">IFERROR(__xludf.DUMMYFUNCTION("""COMPUTED_VALUE"""),"Northwest University")</f>
        <v>Northwest University</v>
      </c>
      <c r="D1143" s="4" t="str">
        <f ca="1">IFERROR(__xludf.DUMMYFUNCTION("""COMPUTED_VALUE"""),"http://www.northwestu.edu/")</f>
        <v>http://www.northwestu.edu/</v>
      </c>
      <c r="G1143" s="2" t="str">
        <f t="shared" ca="1" si="0"/>
        <v>Northwest University</v>
      </c>
      <c r="H1143" s="5" t="str">
        <f t="shared" ca="1" si="1"/>
        <v>Northwest University</v>
      </c>
      <c r="I1143" s="3" t="str">
        <f t="shared" ca="1" si="2"/>
        <v>'Northwest University',</v>
      </c>
    </row>
    <row r="1144" spans="1:9">
      <c r="A1144" s="1" t="s">
        <v>1142</v>
      </c>
      <c r="B1144" s="3" t="str">
        <f ca="1">IFERROR(__xludf.DUMMYFUNCTION("SPLIT(A1144,"","")"),"US")</f>
        <v>US</v>
      </c>
      <c r="C1144" s="3" t="str">
        <f ca="1">IFERROR(__xludf.DUMMYFUNCTION("""COMPUTED_VALUE"""),"Northwood University")</f>
        <v>Northwood University</v>
      </c>
      <c r="D1144" s="4" t="str">
        <f ca="1">IFERROR(__xludf.DUMMYFUNCTION("""COMPUTED_VALUE"""),"http://www.northwood.edu/")</f>
        <v>http://www.northwood.edu/</v>
      </c>
      <c r="G1144" s="2" t="str">
        <f t="shared" ca="1" si="0"/>
        <v>Northwood University</v>
      </c>
      <c r="H1144" s="5" t="str">
        <f t="shared" ca="1" si="1"/>
        <v>Northwood University</v>
      </c>
      <c r="I1144" s="3" t="str">
        <f t="shared" ca="1" si="2"/>
        <v>'Northwood University',</v>
      </c>
    </row>
    <row r="1145" spans="1:9">
      <c r="A1145" s="1" t="s">
        <v>1143</v>
      </c>
      <c r="B1145" s="3" t="str">
        <f ca="1">IFERROR(__xludf.DUMMYFUNCTION("SPLIT(A1145,"","")"),"US")</f>
        <v>US</v>
      </c>
      <c r="C1145" s="3" t="str">
        <f ca="1">IFERROR(__xludf.DUMMYFUNCTION("""COMPUTED_VALUE"""),"""Northwood University")</f>
        <v>"Northwood University</v>
      </c>
      <c r="D1145" s="3" t="str">
        <f ca="1">IFERROR(__xludf.DUMMYFUNCTION("""COMPUTED_VALUE""")," Florida Campus""")</f>
        <v xml:space="preserve"> Florida Campus"</v>
      </c>
      <c r="E1145" s="4" t="str">
        <f ca="1">IFERROR(__xludf.DUMMYFUNCTION("""COMPUTED_VALUE"""),"http://www.northwood.edu/campuses/florida/")</f>
        <v>http://www.northwood.edu/campuses/florida/</v>
      </c>
      <c r="G1145" s="2" t="str">
        <f t="shared" ca="1" si="0"/>
        <v>"Northwood University</v>
      </c>
      <c r="H1145" s="5" t="str">
        <f t="shared" ca="1" si="1"/>
        <v>Northwood University</v>
      </c>
      <c r="I1145" s="3" t="str">
        <f t="shared" ca="1" si="2"/>
        <v>'Northwood University',</v>
      </c>
    </row>
    <row r="1146" spans="1:9">
      <c r="A1146" s="1" t="s">
        <v>1144</v>
      </c>
      <c r="B1146" s="3" t="str">
        <f ca="1">IFERROR(__xludf.DUMMYFUNCTION("SPLIT(A1146,"","")"),"US")</f>
        <v>US</v>
      </c>
      <c r="C1146" s="3" t="str">
        <f ca="1">IFERROR(__xludf.DUMMYFUNCTION("""COMPUTED_VALUE"""),"""Northwood University")</f>
        <v>"Northwood University</v>
      </c>
      <c r="D1146" s="3" t="str">
        <f ca="1">IFERROR(__xludf.DUMMYFUNCTION("""COMPUTED_VALUE""")," Texas Campus""")</f>
        <v xml:space="preserve"> Texas Campus"</v>
      </c>
      <c r="E1146" s="4" t="str">
        <f ca="1">IFERROR(__xludf.DUMMYFUNCTION("""COMPUTED_VALUE"""),"http://www.northwood.edu/campuses/texas/")</f>
        <v>http://www.northwood.edu/campuses/texas/</v>
      </c>
      <c r="G1146" s="2" t="str">
        <f t="shared" ca="1" si="0"/>
        <v>"Northwood University</v>
      </c>
      <c r="H1146" s="5" t="str">
        <f t="shared" ca="1" si="1"/>
        <v>Northwood University</v>
      </c>
      <c r="I1146" s="3" t="str">
        <f t="shared" ca="1" si="2"/>
        <v>'Northwood University',</v>
      </c>
    </row>
    <row r="1147" spans="1:9">
      <c r="A1147" s="1" t="s">
        <v>1145</v>
      </c>
      <c r="B1147" s="3" t="str">
        <f ca="1">IFERROR(__xludf.DUMMYFUNCTION("SPLIT(A1147,"","")"),"US")</f>
        <v>US</v>
      </c>
      <c r="C1147" s="3" t="str">
        <f ca="1">IFERROR(__xludf.DUMMYFUNCTION("""COMPUTED_VALUE"""),"Norwich University")</f>
        <v>Norwich University</v>
      </c>
      <c r="D1147" s="4" t="str">
        <f ca="1">IFERROR(__xludf.DUMMYFUNCTION("""COMPUTED_VALUE"""),"http://www.norwich.edu/")</f>
        <v>http://www.norwich.edu/</v>
      </c>
      <c r="G1147" s="2" t="str">
        <f t="shared" ca="1" si="0"/>
        <v>Norwich University</v>
      </c>
      <c r="H1147" s="5" t="str">
        <f t="shared" ca="1" si="1"/>
        <v>Norwich University</v>
      </c>
      <c r="I1147" s="3" t="str">
        <f t="shared" ca="1" si="2"/>
        <v>'Norwich University',</v>
      </c>
    </row>
    <row r="1148" spans="1:9">
      <c r="A1148" s="1" t="s">
        <v>1146</v>
      </c>
      <c r="B1148" s="3" t="str">
        <f ca="1">IFERROR(__xludf.DUMMYFUNCTION("SPLIT(A1148,"","")"),"US")</f>
        <v>US</v>
      </c>
      <c r="C1148" s="3" t="str">
        <f ca="1">IFERROR(__xludf.DUMMYFUNCTION("""COMPUTED_VALUE"""),"Notre Dame College")</f>
        <v>Notre Dame College</v>
      </c>
      <c r="D1148" s="4" t="str">
        <f ca="1">IFERROR(__xludf.DUMMYFUNCTION("""COMPUTED_VALUE"""),"http://www.notredame.edu/")</f>
        <v>http://www.notredame.edu/</v>
      </c>
      <c r="G1148" s="2" t="str">
        <f t="shared" ca="1" si="0"/>
        <v>Notre Dame College</v>
      </c>
      <c r="H1148" s="5" t="str">
        <f t="shared" ca="1" si="1"/>
        <v>Notre Dame College</v>
      </c>
      <c r="I1148" s="3" t="str">
        <f t="shared" ca="1" si="2"/>
        <v>'Notre Dame College',</v>
      </c>
    </row>
    <row r="1149" spans="1:9">
      <c r="A1149" s="1" t="s">
        <v>1147</v>
      </c>
      <c r="B1149" s="3" t="str">
        <f ca="1">IFERROR(__xludf.DUMMYFUNCTION("SPLIT(A1149,"","")"),"US")</f>
        <v>US</v>
      </c>
      <c r="C1149" s="3" t="str">
        <f ca="1">IFERROR(__xludf.DUMMYFUNCTION("""COMPUTED_VALUE"""),"Notre Dame College of Ohio")</f>
        <v>Notre Dame College of Ohio</v>
      </c>
      <c r="D1149" s="4" t="str">
        <f ca="1">IFERROR(__xludf.DUMMYFUNCTION("""COMPUTED_VALUE"""),"http://www.ndc.edu/")</f>
        <v>http://www.ndc.edu/</v>
      </c>
      <c r="G1149" s="2" t="str">
        <f t="shared" ca="1" si="0"/>
        <v>Notre Dame College of Ohio</v>
      </c>
      <c r="H1149" s="5" t="str">
        <f t="shared" ca="1" si="1"/>
        <v>Notre Dame College of Ohio</v>
      </c>
      <c r="I1149" s="3" t="str">
        <f t="shared" ca="1" si="2"/>
        <v>'Notre Dame College of Ohio',</v>
      </c>
    </row>
    <row r="1150" spans="1:9">
      <c r="A1150" s="1" t="s">
        <v>1148</v>
      </c>
      <c r="B1150" s="3" t="str">
        <f ca="1">IFERROR(__xludf.DUMMYFUNCTION("SPLIT(A1150,"","")"),"US")</f>
        <v>US</v>
      </c>
      <c r="C1150" s="3" t="str">
        <f ca="1">IFERROR(__xludf.DUMMYFUNCTION("""COMPUTED_VALUE"""),"Notre Dame de Namur University")</f>
        <v>Notre Dame de Namur University</v>
      </c>
      <c r="D1150" s="4" t="str">
        <f ca="1">IFERROR(__xludf.DUMMYFUNCTION("""COMPUTED_VALUE"""),"http://www.ndnu.edu/")</f>
        <v>http://www.ndnu.edu/</v>
      </c>
      <c r="G1150" s="2" t="str">
        <f t="shared" ca="1" si="0"/>
        <v>Notre Dame de Namur University</v>
      </c>
      <c r="H1150" s="5" t="str">
        <f t="shared" ca="1" si="1"/>
        <v>Notre Dame de Namur University</v>
      </c>
      <c r="I1150" s="3" t="str">
        <f t="shared" ca="1" si="2"/>
        <v>'Notre Dame de Namur University',</v>
      </c>
    </row>
    <row r="1151" spans="1:9">
      <c r="A1151" s="1" t="s">
        <v>1149</v>
      </c>
      <c r="B1151" s="3" t="str">
        <f ca="1">IFERROR(__xludf.DUMMYFUNCTION("SPLIT(A1151,"","")"),"US")</f>
        <v>US</v>
      </c>
      <c r="C1151" s="3" t="str">
        <f ca="1">IFERROR(__xludf.DUMMYFUNCTION("""COMPUTED_VALUE"""),"Nova Southeastern University")</f>
        <v>Nova Southeastern University</v>
      </c>
      <c r="D1151" s="4" t="str">
        <f ca="1">IFERROR(__xludf.DUMMYFUNCTION("""COMPUTED_VALUE"""),"http://www.nova.edu/")</f>
        <v>http://www.nova.edu/</v>
      </c>
      <c r="G1151" s="2" t="str">
        <f t="shared" ca="1" si="0"/>
        <v>Nova Southeastern University</v>
      </c>
      <c r="H1151" s="5" t="str">
        <f t="shared" ca="1" si="1"/>
        <v>Nova Southeastern University</v>
      </c>
      <c r="I1151" s="3" t="str">
        <f t="shared" ca="1" si="2"/>
        <v>'Nova Southeastern University',</v>
      </c>
    </row>
    <row r="1152" spans="1:9">
      <c r="A1152" s="1" t="s">
        <v>1150</v>
      </c>
      <c r="B1152" s="3" t="str">
        <f ca="1">IFERROR(__xludf.DUMMYFUNCTION("SPLIT(A1152,"","")"),"US")</f>
        <v>US</v>
      </c>
      <c r="C1152" s="3" t="str">
        <f ca="1">IFERROR(__xludf.DUMMYFUNCTION("""COMPUTED_VALUE"""),"Nyack College")</f>
        <v>Nyack College</v>
      </c>
      <c r="D1152" s="4" t="str">
        <f ca="1">IFERROR(__xludf.DUMMYFUNCTION("""COMPUTED_VALUE"""),"http://www.nyackcollege.edu/")</f>
        <v>http://www.nyackcollege.edu/</v>
      </c>
      <c r="G1152" s="2" t="str">
        <f t="shared" ca="1" si="0"/>
        <v>Nyack College</v>
      </c>
      <c r="H1152" s="5" t="str">
        <f t="shared" ca="1" si="1"/>
        <v>Nyack College</v>
      </c>
      <c r="I1152" s="3" t="str">
        <f t="shared" ca="1" si="2"/>
        <v>'Nyack College',</v>
      </c>
    </row>
    <row r="1153" spans="1:9">
      <c r="A1153" s="1" t="s">
        <v>1151</v>
      </c>
      <c r="B1153" s="3" t="str">
        <f ca="1">IFERROR(__xludf.DUMMYFUNCTION("SPLIT(A1153,"","")"),"US")</f>
        <v>US</v>
      </c>
      <c r="C1153" s="3" t="str">
        <f ca="1">IFERROR(__xludf.DUMMYFUNCTION("""COMPUTED_VALUE"""),"Oakland City University")</f>
        <v>Oakland City University</v>
      </c>
      <c r="D1153" s="4" t="str">
        <f ca="1">IFERROR(__xludf.DUMMYFUNCTION("""COMPUTED_VALUE"""),"http://www.oak.edu/")</f>
        <v>http://www.oak.edu/</v>
      </c>
      <c r="G1153" s="2" t="str">
        <f t="shared" ca="1" si="0"/>
        <v>Oakland City University</v>
      </c>
      <c r="H1153" s="5" t="str">
        <f t="shared" ca="1" si="1"/>
        <v>Oakland City University</v>
      </c>
      <c r="I1153" s="3" t="str">
        <f t="shared" ca="1" si="2"/>
        <v>'Oakland City University',</v>
      </c>
    </row>
    <row r="1154" spans="1:9">
      <c r="A1154" s="1" t="s">
        <v>1152</v>
      </c>
      <c r="B1154" s="3" t="str">
        <f ca="1">IFERROR(__xludf.DUMMYFUNCTION("SPLIT(A1154,"","")"),"US")</f>
        <v>US</v>
      </c>
      <c r="C1154" s="3" t="str">
        <f ca="1">IFERROR(__xludf.DUMMYFUNCTION("""COMPUTED_VALUE"""),"Oakland University")</f>
        <v>Oakland University</v>
      </c>
      <c r="D1154" s="4" t="str">
        <f ca="1">IFERROR(__xludf.DUMMYFUNCTION("""COMPUTED_VALUE"""),"http://www.oakland.edu/")</f>
        <v>http://www.oakland.edu/</v>
      </c>
      <c r="G1154" s="2" t="str">
        <f t="shared" ca="1" si="0"/>
        <v>Oakland University</v>
      </c>
      <c r="H1154" s="5" t="str">
        <f t="shared" ca="1" si="1"/>
        <v>Oakland University</v>
      </c>
      <c r="I1154" s="3" t="str">
        <f t="shared" ca="1" si="2"/>
        <v>'Oakland University',</v>
      </c>
    </row>
    <row r="1155" spans="1:9">
      <c r="A1155" s="1" t="s">
        <v>1153</v>
      </c>
      <c r="B1155" s="3" t="str">
        <f ca="1">IFERROR(__xludf.DUMMYFUNCTION("SPLIT(A1155,"","")"),"US")</f>
        <v>US</v>
      </c>
      <c r="C1155" s="3" t="str">
        <f ca="1">IFERROR(__xludf.DUMMYFUNCTION("""COMPUTED_VALUE"""),"Oakton Community College")</f>
        <v>Oakton Community College</v>
      </c>
      <c r="D1155" s="4" t="str">
        <f ca="1">IFERROR(__xludf.DUMMYFUNCTION("""COMPUTED_VALUE"""),"http://www.oakton.edu/")</f>
        <v>http://www.oakton.edu/</v>
      </c>
      <c r="G1155" s="2" t="str">
        <f t="shared" ca="1" si="0"/>
        <v>Oakton Community College</v>
      </c>
      <c r="H1155" s="5" t="str">
        <f t="shared" ca="1" si="1"/>
        <v>Oakton Community College</v>
      </c>
      <c r="I1155" s="3" t="str">
        <f t="shared" ca="1" si="2"/>
        <v>'Oakton Community College',</v>
      </c>
    </row>
    <row r="1156" spans="1:9">
      <c r="A1156" s="1" t="s">
        <v>1154</v>
      </c>
      <c r="B1156" s="3" t="str">
        <f ca="1">IFERROR(__xludf.DUMMYFUNCTION("SPLIT(A1156,"","")"),"US")</f>
        <v>US</v>
      </c>
      <c r="C1156" s="3" t="str">
        <f ca="1">IFERROR(__xludf.DUMMYFUNCTION("""COMPUTED_VALUE"""),"Oakwood College")</f>
        <v>Oakwood College</v>
      </c>
      <c r="D1156" s="4" t="str">
        <f ca="1">IFERROR(__xludf.DUMMYFUNCTION("""COMPUTED_VALUE"""),"http://www.oakwood.edu/")</f>
        <v>http://www.oakwood.edu/</v>
      </c>
      <c r="G1156" s="2" t="str">
        <f t="shared" ca="1" si="0"/>
        <v>Oakwood College</v>
      </c>
      <c r="H1156" s="5" t="str">
        <f t="shared" ca="1" si="1"/>
        <v>Oakwood College</v>
      </c>
      <c r="I1156" s="3" t="str">
        <f t="shared" ca="1" si="2"/>
        <v>'Oakwood College',</v>
      </c>
    </row>
    <row r="1157" spans="1:9">
      <c r="A1157" s="1" t="s">
        <v>1155</v>
      </c>
      <c r="B1157" s="3" t="str">
        <f ca="1">IFERROR(__xludf.DUMMYFUNCTION("SPLIT(A1157,"","")"),"US")</f>
        <v>US</v>
      </c>
      <c r="C1157" s="3" t="str">
        <f ca="1">IFERROR(__xludf.DUMMYFUNCTION("""COMPUTED_VALUE"""),"Oberlin College")</f>
        <v>Oberlin College</v>
      </c>
      <c r="D1157" s="4" t="str">
        <f ca="1">IFERROR(__xludf.DUMMYFUNCTION("""COMPUTED_VALUE"""),"http://www.oberlin.edu/")</f>
        <v>http://www.oberlin.edu/</v>
      </c>
      <c r="G1157" s="2" t="str">
        <f t="shared" ca="1" si="0"/>
        <v>Oberlin College</v>
      </c>
      <c r="H1157" s="5" t="str">
        <f t="shared" ca="1" si="1"/>
        <v>Oberlin College</v>
      </c>
      <c r="I1157" s="3" t="str">
        <f t="shared" ca="1" si="2"/>
        <v>'Oberlin College',</v>
      </c>
    </row>
    <row r="1158" spans="1:9">
      <c r="A1158" s="1" t="s">
        <v>1156</v>
      </c>
      <c r="B1158" s="3" t="str">
        <f ca="1">IFERROR(__xludf.DUMMYFUNCTION("SPLIT(A1158,"","")"),"US")</f>
        <v>US</v>
      </c>
      <c r="C1158" s="3" t="str">
        <f ca="1">IFERROR(__xludf.DUMMYFUNCTION("""COMPUTED_VALUE"""),"Occidental College")</f>
        <v>Occidental College</v>
      </c>
      <c r="D1158" s="4" t="str">
        <f ca="1">IFERROR(__xludf.DUMMYFUNCTION("""COMPUTED_VALUE"""),"http://www.oxy.edu/")</f>
        <v>http://www.oxy.edu/</v>
      </c>
      <c r="G1158" s="2" t="str">
        <f t="shared" ca="1" si="0"/>
        <v>Occidental College</v>
      </c>
      <c r="H1158" s="5" t="str">
        <f t="shared" ca="1" si="1"/>
        <v>Occidental College</v>
      </c>
      <c r="I1158" s="3" t="str">
        <f t="shared" ca="1" si="2"/>
        <v>'Occidental College',</v>
      </c>
    </row>
    <row r="1159" spans="1:9">
      <c r="A1159" s="1" t="s">
        <v>1157</v>
      </c>
      <c r="B1159" s="3" t="str">
        <f ca="1">IFERROR(__xludf.DUMMYFUNCTION("SPLIT(A1159,"","")"),"US")</f>
        <v>US</v>
      </c>
      <c r="C1159" s="3" t="str">
        <f ca="1">IFERROR(__xludf.DUMMYFUNCTION("""COMPUTED_VALUE"""),"Oglala Lakota College")</f>
        <v>Oglala Lakota College</v>
      </c>
      <c r="D1159" s="4" t="str">
        <f ca="1">IFERROR(__xludf.DUMMYFUNCTION("""COMPUTED_VALUE"""),"http://www.olc.edu/")</f>
        <v>http://www.olc.edu/</v>
      </c>
      <c r="G1159" s="2" t="str">
        <f t="shared" ca="1" si="0"/>
        <v>Oglala Lakota College</v>
      </c>
      <c r="H1159" s="5" t="str">
        <f t="shared" ca="1" si="1"/>
        <v>Oglala Lakota College</v>
      </c>
      <c r="I1159" s="3" t="str">
        <f t="shared" ca="1" si="2"/>
        <v>'Oglala Lakota College',</v>
      </c>
    </row>
    <row r="1160" spans="1:9">
      <c r="A1160" s="1" t="s">
        <v>1158</v>
      </c>
      <c r="B1160" s="3" t="str">
        <f ca="1">IFERROR(__xludf.DUMMYFUNCTION("SPLIT(A1160,"","")"),"US")</f>
        <v>US</v>
      </c>
      <c r="C1160" s="3" t="str">
        <f ca="1">IFERROR(__xludf.DUMMYFUNCTION("""COMPUTED_VALUE"""),"Oglethorpe University")</f>
        <v>Oglethorpe University</v>
      </c>
      <c r="D1160" s="4" t="str">
        <f ca="1">IFERROR(__xludf.DUMMYFUNCTION("""COMPUTED_VALUE"""),"http://www.oglethorpe.edu/")</f>
        <v>http://www.oglethorpe.edu/</v>
      </c>
      <c r="G1160" s="2" t="str">
        <f t="shared" ca="1" si="0"/>
        <v>Oglethorpe University</v>
      </c>
      <c r="H1160" s="5" t="str">
        <f t="shared" ca="1" si="1"/>
        <v>Oglethorpe University</v>
      </c>
      <c r="I1160" s="3" t="str">
        <f t="shared" ca="1" si="2"/>
        <v>'Oglethorpe University',</v>
      </c>
    </row>
    <row r="1161" spans="1:9">
      <c r="A1161" s="1" t="s">
        <v>1159</v>
      </c>
      <c r="B1161" s="3" t="str">
        <f ca="1">IFERROR(__xludf.DUMMYFUNCTION("SPLIT(A1161,"","")"),"US")</f>
        <v>US</v>
      </c>
      <c r="C1161" s="3" t="str">
        <f ca="1">IFERROR(__xludf.DUMMYFUNCTION("""COMPUTED_VALUE"""),"Ohio College of Podiatric Medicine")</f>
        <v>Ohio College of Podiatric Medicine</v>
      </c>
      <c r="D1161" s="4" t="str">
        <f ca="1">IFERROR(__xludf.DUMMYFUNCTION("""COMPUTED_VALUE"""),"http://www.ocpm.edu/")</f>
        <v>http://www.ocpm.edu/</v>
      </c>
      <c r="G1161" s="2" t="str">
        <f t="shared" ca="1" si="0"/>
        <v>Ohio College of Podiatric Medicine</v>
      </c>
      <c r="H1161" s="5" t="str">
        <f t="shared" ca="1" si="1"/>
        <v>Ohio College of Podiatric Medicine</v>
      </c>
      <c r="I1161" s="3" t="str">
        <f t="shared" ca="1" si="2"/>
        <v>'Ohio College of Podiatric Medicine',</v>
      </c>
    </row>
    <row r="1162" spans="1:9">
      <c r="A1162" s="1" t="s">
        <v>1160</v>
      </c>
      <c r="B1162" s="3" t="str">
        <f ca="1">IFERROR(__xludf.DUMMYFUNCTION("SPLIT(A1162,"","")"),"US")</f>
        <v>US</v>
      </c>
      <c r="C1162" s="3" t="str">
        <f ca="1">IFERROR(__xludf.DUMMYFUNCTION("""COMPUTED_VALUE"""),"Ohio Dominican College")</f>
        <v>Ohio Dominican College</v>
      </c>
      <c r="D1162" s="4" t="str">
        <f ca="1">IFERROR(__xludf.DUMMYFUNCTION("""COMPUTED_VALUE"""),"http://www.odc.edu/")</f>
        <v>http://www.odc.edu/</v>
      </c>
      <c r="G1162" s="2" t="str">
        <f t="shared" ca="1" si="0"/>
        <v>Ohio Dominican College</v>
      </c>
      <c r="H1162" s="5" t="str">
        <f t="shared" ca="1" si="1"/>
        <v>Ohio Dominican College</v>
      </c>
      <c r="I1162" s="3" t="str">
        <f t="shared" ca="1" si="2"/>
        <v>'Ohio Dominican College',</v>
      </c>
    </row>
    <row r="1163" spans="1:9">
      <c r="A1163" s="1" t="s">
        <v>1161</v>
      </c>
      <c r="B1163" s="3" t="str">
        <f ca="1">IFERROR(__xludf.DUMMYFUNCTION("SPLIT(A1163,"","")"),"US")</f>
        <v>US</v>
      </c>
      <c r="C1163" s="3" t="str">
        <f ca="1">IFERROR(__xludf.DUMMYFUNCTION("""COMPUTED_VALUE"""),"Ohio Northern University")</f>
        <v>Ohio Northern University</v>
      </c>
      <c r="D1163" s="4" t="str">
        <f ca="1">IFERROR(__xludf.DUMMYFUNCTION("""COMPUTED_VALUE"""),"http://www.onu.edu/")</f>
        <v>http://www.onu.edu/</v>
      </c>
      <c r="G1163" s="2" t="str">
        <f t="shared" ca="1" si="0"/>
        <v>Ohio Northern University</v>
      </c>
      <c r="H1163" s="5" t="str">
        <f t="shared" ca="1" si="1"/>
        <v>Ohio Northern University</v>
      </c>
      <c r="I1163" s="3" t="str">
        <f t="shared" ca="1" si="2"/>
        <v>'Ohio Northern University',</v>
      </c>
    </row>
    <row r="1164" spans="1:9">
      <c r="A1164" s="1" t="s">
        <v>1162</v>
      </c>
      <c r="B1164" s="3" t="str">
        <f ca="1">IFERROR(__xludf.DUMMYFUNCTION("SPLIT(A1164,"","")"),"US")</f>
        <v>US</v>
      </c>
      <c r="C1164" s="3" t="str">
        <f ca="1">IFERROR(__xludf.DUMMYFUNCTION("""COMPUTED_VALUE"""),"Ohio State University")</f>
        <v>Ohio State University</v>
      </c>
      <c r="D1164" s="4" t="str">
        <f ca="1">IFERROR(__xludf.DUMMYFUNCTION("""COMPUTED_VALUE"""),"http://www.ohio-state.edu/")</f>
        <v>http://www.ohio-state.edu/</v>
      </c>
      <c r="G1164" s="2" t="str">
        <f t="shared" ca="1" si="0"/>
        <v>Ohio State University</v>
      </c>
      <c r="H1164" s="5" t="str">
        <f t="shared" ca="1" si="1"/>
        <v>Ohio State University</v>
      </c>
      <c r="I1164" s="3" t="str">
        <f t="shared" ca="1" si="2"/>
        <v>'Ohio State University',</v>
      </c>
    </row>
    <row r="1165" spans="1:9">
      <c r="A1165" s="1" t="s">
        <v>1163</v>
      </c>
      <c r="B1165" s="3" t="str">
        <f ca="1">IFERROR(__xludf.DUMMYFUNCTION("SPLIT(A1165,"","")"),"US")</f>
        <v>US</v>
      </c>
      <c r="C1165" s="3" t="str">
        <f ca="1">IFERROR(__xludf.DUMMYFUNCTION("""COMPUTED_VALUE"""),"Ohio State University - Lima")</f>
        <v>Ohio State University - Lima</v>
      </c>
      <c r="D1165" s="4" t="str">
        <f ca="1">IFERROR(__xludf.DUMMYFUNCTION("""COMPUTED_VALUE"""),"http://www.lima.ohio-state.edu/")</f>
        <v>http://www.lima.ohio-state.edu/</v>
      </c>
      <c r="G1165" s="2" t="str">
        <f t="shared" ca="1" si="0"/>
        <v>Ohio State University - Lima</v>
      </c>
      <c r="H1165" s="5" t="str">
        <f t="shared" ca="1" si="1"/>
        <v>Ohio State University - Lima</v>
      </c>
      <c r="I1165" s="3" t="str">
        <f t="shared" ca="1" si="2"/>
        <v>'Ohio State University - Lima',</v>
      </c>
    </row>
    <row r="1166" spans="1:9">
      <c r="A1166" s="1" t="s">
        <v>1164</v>
      </c>
      <c r="B1166" s="3" t="str">
        <f ca="1">IFERROR(__xludf.DUMMYFUNCTION("SPLIT(A1166,"","")"),"US")</f>
        <v>US</v>
      </c>
      <c r="C1166" s="3" t="str">
        <f ca="1">IFERROR(__xludf.DUMMYFUNCTION("""COMPUTED_VALUE"""),"Ohio State University - Mansfield")</f>
        <v>Ohio State University - Mansfield</v>
      </c>
      <c r="D1166" s="4" t="str">
        <f ca="1">IFERROR(__xludf.DUMMYFUNCTION("""COMPUTED_VALUE"""),"http://www.mansfield.ohio-state.edu/")</f>
        <v>http://www.mansfield.ohio-state.edu/</v>
      </c>
      <c r="G1166" s="2" t="str">
        <f t="shared" ca="1" si="0"/>
        <v>Ohio State University - Mansfield</v>
      </c>
      <c r="H1166" s="5" t="str">
        <f t="shared" ca="1" si="1"/>
        <v>Ohio State University - Mansfield</v>
      </c>
      <c r="I1166" s="3" t="str">
        <f t="shared" ca="1" si="2"/>
        <v>'Ohio State University - Mansfield',</v>
      </c>
    </row>
    <row r="1167" spans="1:9">
      <c r="A1167" s="1" t="s">
        <v>1165</v>
      </c>
      <c r="B1167" s="3" t="str">
        <f ca="1">IFERROR(__xludf.DUMMYFUNCTION("SPLIT(A1167,"","")"),"US")</f>
        <v>US</v>
      </c>
      <c r="C1167" s="3" t="str">
        <f ca="1">IFERROR(__xludf.DUMMYFUNCTION("""COMPUTED_VALUE"""),"Ohio State University - Marion")</f>
        <v>Ohio State University - Marion</v>
      </c>
      <c r="D1167" s="4" t="str">
        <f ca="1">IFERROR(__xludf.DUMMYFUNCTION("""COMPUTED_VALUE"""),"http://www.marion.ohio-state.edu/")</f>
        <v>http://www.marion.ohio-state.edu/</v>
      </c>
      <c r="G1167" s="2" t="str">
        <f t="shared" ca="1" si="0"/>
        <v>Ohio State University - Marion</v>
      </c>
      <c r="H1167" s="5" t="str">
        <f t="shared" ca="1" si="1"/>
        <v>Ohio State University - Marion</v>
      </c>
      <c r="I1167" s="3" t="str">
        <f t="shared" ca="1" si="2"/>
        <v>'Ohio State University - Marion',</v>
      </c>
    </row>
    <row r="1168" spans="1:9">
      <c r="A1168" s="1" t="s">
        <v>1166</v>
      </c>
      <c r="B1168" s="3" t="str">
        <f ca="1">IFERROR(__xludf.DUMMYFUNCTION("SPLIT(A1168,"","")"),"US")</f>
        <v>US</v>
      </c>
      <c r="C1168" s="3" t="str">
        <f ca="1">IFERROR(__xludf.DUMMYFUNCTION("""COMPUTED_VALUE"""),"Ohio State University - Newark")</f>
        <v>Ohio State University - Newark</v>
      </c>
      <c r="D1168" s="4" t="str">
        <f ca="1">IFERROR(__xludf.DUMMYFUNCTION("""COMPUTED_VALUE"""),"http://www.newark.ohio-state.edu/")</f>
        <v>http://www.newark.ohio-state.edu/</v>
      </c>
      <c r="G1168" s="2" t="str">
        <f t="shared" ca="1" si="0"/>
        <v>Ohio State University - Newark</v>
      </c>
      <c r="H1168" s="5" t="str">
        <f t="shared" ca="1" si="1"/>
        <v>Ohio State University - Newark</v>
      </c>
      <c r="I1168" s="3" t="str">
        <f t="shared" ca="1" si="2"/>
        <v>'Ohio State University - Newark',</v>
      </c>
    </row>
    <row r="1169" spans="1:9">
      <c r="A1169" s="1" t="s">
        <v>1167</v>
      </c>
      <c r="B1169" s="3" t="str">
        <f ca="1">IFERROR(__xludf.DUMMYFUNCTION("SPLIT(A1169,"","")"),"US")</f>
        <v>US</v>
      </c>
      <c r="C1169" s="3" t="str">
        <f ca="1">IFERROR(__xludf.DUMMYFUNCTION("""COMPUTED_VALUE"""),"Ohio University")</f>
        <v>Ohio University</v>
      </c>
      <c r="D1169" s="4" t="str">
        <f ca="1">IFERROR(__xludf.DUMMYFUNCTION("""COMPUTED_VALUE"""),"http://www.ohiou.edu/")</f>
        <v>http://www.ohiou.edu/</v>
      </c>
      <c r="G1169" s="2" t="str">
        <f t="shared" ca="1" si="0"/>
        <v>Ohio University</v>
      </c>
      <c r="H1169" s="5" t="str">
        <f t="shared" ca="1" si="1"/>
        <v>Ohio University</v>
      </c>
      <c r="I1169" s="3" t="str">
        <f t="shared" ca="1" si="2"/>
        <v>'Ohio University',</v>
      </c>
    </row>
    <row r="1170" spans="1:9">
      <c r="A1170" s="1" t="s">
        <v>1168</v>
      </c>
      <c r="B1170" s="3" t="str">
        <f ca="1">IFERROR(__xludf.DUMMYFUNCTION("SPLIT(A1170,"","")"),"US")</f>
        <v>US</v>
      </c>
      <c r="C1170" s="3" t="str">
        <f ca="1">IFERROR(__xludf.DUMMYFUNCTION("""COMPUTED_VALUE"""),"Ohio University - Chillicothe")</f>
        <v>Ohio University - Chillicothe</v>
      </c>
      <c r="D1170" s="4" t="str">
        <f ca="1">IFERROR(__xludf.DUMMYFUNCTION("""COMPUTED_VALUE"""),"http://www.ohiou.edu/chillicothe/")</f>
        <v>http://www.ohiou.edu/chillicothe/</v>
      </c>
      <c r="G1170" s="2" t="str">
        <f t="shared" ca="1" si="0"/>
        <v>Ohio University - Chillicothe</v>
      </c>
      <c r="H1170" s="5" t="str">
        <f t="shared" ca="1" si="1"/>
        <v>Ohio University - Chillicothe</v>
      </c>
      <c r="I1170" s="3" t="str">
        <f t="shared" ca="1" si="2"/>
        <v>'Ohio University - Chillicothe',</v>
      </c>
    </row>
    <row r="1171" spans="1:9">
      <c r="A1171" s="1" t="s">
        <v>1169</v>
      </c>
      <c r="B1171" s="3" t="str">
        <f ca="1">IFERROR(__xludf.DUMMYFUNCTION("SPLIT(A1171,"","")"),"US")</f>
        <v>US</v>
      </c>
      <c r="C1171" s="3" t="str">
        <f ca="1">IFERROR(__xludf.DUMMYFUNCTION("""COMPUTED_VALUE"""),"Ohio University - Eastern")</f>
        <v>Ohio University - Eastern</v>
      </c>
      <c r="D1171" s="4" t="str">
        <f ca="1">IFERROR(__xludf.DUMMYFUNCTION("""COMPUTED_VALUE"""),"http://www.eastern.ohiou.edu/")</f>
        <v>http://www.eastern.ohiou.edu/</v>
      </c>
      <c r="G1171" s="2" t="str">
        <f t="shared" ca="1" si="0"/>
        <v>Ohio University - Eastern</v>
      </c>
      <c r="H1171" s="5" t="str">
        <f t="shared" ca="1" si="1"/>
        <v>Ohio University - Eastern</v>
      </c>
      <c r="I1171" s="3" t="str">
        <f t="shared" ca="1" si="2"/>
        <v>'Ohio University - Eastern',</v>
      </c>
    </row>
    <row r="1172" spans="1:9">
      <c r="A1172" s="1" t="s">
        <v>1170</v>
      </c>
      <c r="B1172" s="3" t="str">
        <f ca="1">IFERROR(__xludf.DUMMYFUNCTION("SPLIT(A1172,"","")"),"US")</f>
        <v>US</v>
      </c>
      <c r="C1172" s="3" t="str">
        <f ca="1">IFERROR(__xludf.DUMMYFUNCTION("""COMPUTED_VALUE"""),"Ohio University - Lancaster")</f>
        <v>Ohio University - Lancaster</v>
      </c>
      <c r="D1172" s="4" t="str">
        <f ca="1">IFERROR(__xludf.DUMMYFUNCTION("""COMPUTED_VALUE"""),"http://www.lancaster.ohiou.edu/")</f>
        <v>http://www.lancaster.ohiou.edu/</v>
      </c>
      <c r="G1172" s="2" t="str">
        <f t="shared" ca="1" si="0"/>
        <v>Ohio University - Lancaster</v>
      </c>
      <c r="H1172" s="5" t="str">
        <f t="shared" ca="1" si="1"/>
        <v>Ohio University - Lancaster</v>
      </c>
      <c r="I1172" s="3" t="str">
        <f t="shared" ca="1" si="2"/>
        <v>'Ohio University - Lancaster',</v>
      </c>
    </row>
    <row r="1173" spans="1:9">
      <c r="A1173" s="1" t="s">
        <v>1171</v>
      </c>
      <c r="B1173" s="3" t="str">
        <f ca="1">IFERROR(__xludf.DUMMYFUNCTION("SPLIT(A1173,"","")"),"US")</f>
        <v>US</v>
      </c>
      <c r="C1173" s="3" t="str">
        <f ca="1">IFERROR(__xludf.DUMMYFUNCTION("""COMPUTED_VALUE"""),"Ohio University - Southern")</f>
        <v>Ohio University - Southern</v>
      </c>
      <c r="D1173" s="4" t="str">
        <f ca="1">IFERROR(__xludf.DUMMYFUNCTION("""COMPUTED_VALUE"""),"http://www.ohiou.edu/southern/")</f>
        <v>http://www.ohiou.edu/southern/</v>
      </c>
      <c r="G1173" s="2" t="str">
        <f t="shared" ca="1" si="0"/>
        <v>Ohio University - Southern</v>
      </c>
      <c r="H1173" s="5" t="str">
        <f t="shared" ca="1" si="1"/>
        <v>Ohio University - Southern</v>
      </c>
      <c r="I1173" s="3" t="str">
        <f t="shared" ca="1" si="2"/>
        <v>'Ohio University - Southern',</v>
      </c>
    </row>
    <row r="1174" spans="1:9">
      <c r="A1174" s="1" t="s">
        <v>1172</v>
      </c>
      <c r="B1174" s="3" t="str">
        <f ca="1">IFERROR(__xludf.DUMMYFUNCTION("SPLIT(A1174,"","")"),"US")</f>
        <v>US</v>
      </c>
      <c r="C1174" s="3" t="str">
        <f ca="1">IFERROR(__xludf.DUMMYFUNCTION("""COMPUTED_VALUE"""),"Ohio University - Zanesville")</f>
        <v>Ohio University - Zanesville</v>
      </c>
      <c r="D1174" s="4" t="str">
        <f ca="1">IFERROR(__xludf.DUMMYFUNCTION("""COMPUTED_VALUE"""),"http://www.zanesville.ohiou.edu/")</f>
        <v>http://www.zanesville.ohiou.edu/</v>
      </c>
      <c r="G1174" s="2" t="str">
        <f t="shared" ca="1" si="0"/>
        <v>Ohio University - Zanesville</v>
      </c>
      <c r="H1174" s="5" t="str">
        <f t="shared" ca="1" si="1"/>
        <v>Ohio University - Zanesville</v>
      </c>
      <c r="I1174" s="3" t="str">
        <f t="shared" ca="1" si="2"/>
        <v>'Ohio University - Zanesville',</v>
      </c>
    </row>
    <row r="1175" spans="1:9">
      <c r="A1175" s="1" t="s">
        <v>1173</v>
      </c>
      <c r="B1175" s="3" t="str">
        <f ca="1">IFERROR(__xludf.DUMMYFUNCTION("SPLIT(A1175,"","")"),"US")</f>
        <v>US</v>
      </c>
      <c r="C1175" s="3" t="str">
        <f ca="1">IFERROR(__xludf.DUMMYFUNCTION("""COMPUTED_VALUE"""),"Ohio Valley College")</f>
        <v>Ohio Valley College</v>
      </c>
      <c r="D1175" s="4" t="str">
        <f ca="1">IFERROR(__xludf.DUMMYFUNCTION("""COMPUTED_VALUE"""),"http://www.ovc.edu/")</f>
        <v>http://www.ovc.edu/</v>
      </c>
      <c r="G1175" s="2" t="str">
        <f t="shared" ca="1" si="0"/>
        <v>Ohio Valley College</v>
      </c>
      <c r="H1175" s="5" t="str">
        <f t="shared" ca="1" si="1"/>
        <v>Ohio Valley College</v>
      </c>
      <c r="I1175" s="3" t="str">
        <f t="shared" ca="1" si="2"/>
        <v>'Ohio Valley College',</v>
      </c>
    </row>
    <row r="1176" spans="1:9">
      <c r="A1176" s="1" t="s">
        <v>1174</v>
      </c>
      <c r="B1176" s="3" t="str">
        <f ca="1">IFERROR(__xludf.DUMMYFUNCTION("SPLIT(A1176,"","")"),"US")</f>
        <v>US</v>
      </c>
      <c r="C1176" s="3" t="str">
        <f ca="1">IFERROR(__xludf.DUMMYFUNCTION("""COMPUTED_VALUE"""),"Ohio Wesleyan University")</f>
        <v>Ohio Wesleyan University</v>
      </c>
      <c r="D1176" s="4" t="str">
        <f ca="1">IFERROR(__xludf.DUMMYFUNCTION("""COMPUTED_VALUE"""),"http://www.owu.edu/")</f>
        <v>http://www.owu.edu/</v>
      </c>
      <c r="G1176" s="2" t="str">
        <f t="shared" ca="1" si="0"/>
        <v>Ohio Wesleyan University</v>
      </c>
      <c r="H1176" s="5" t="str">
        <f t="shared" ca="1" si="1"/>
        <v>Ohio Wesleyan University</v>
      </c>
      <c r="I1176" s="3" t="str">
        <f t="shared" ca="1" si="2"/>
        <v>'Ohio Wesleyan University',</v>
      </c>
    </row>
    <row r="1177" spans="1:9">
      <c r="A1177" s="1" t="s">
        <v>1175</v>
      </c>
      <c r="B1177" s="3" t="str">
        <f ca="1">IFERROR(__xludf.DUMMYFUNCTION("SPLIT(A1177,"","")"),"US")</f>
        <v>US</v>
      </c>
      <c r="C1177" s="3" t="str">
        <f ca="1">IFERROR(__xludf.DUMMYFUNCTION("""COMPUTED_VALUE"""),"Oklahoma Baptist University")</f>
        <v>Oklahoma Baptist University</v>
      </c>
      <c r="D1177" s="4" t="str">
        <f ca="1">IFERROR(__xludf.DUMMYFUNCTION("""COMPUTED_VALUE"""),"http://www.okbu.edu/")</f>
        <v>http://www.okbu.edu/</v>
      </c>
      <c r="G1177" s="2" t="str">
        <f t="shared" ca="1" si="0"/>
        <v>Oklahoma Baptist University</v>
      </c>
      <c r="H1177" s="5" t="str">
        <f t="shared" ca="1" si="1"/>
        <v>Oklahoma Baptist University</v>
      </c>
      <c r="I1177" s="3" t="str">
        <f t="shared" ca="1" si="2"/>
        <v>'Oklahoma Baptist University',</v>
      </c>
    </row>
    <row r="1178" spans="1:9">
      <c r="A1178" s="1" t="s">
        <v>1176</v>
      </c>
      <c r="B1178" s="3" t="str">
        <f ca="1">IFERROR(__xludf.DUMMYFUNCTION("SPLIT(A1178,"","")"),"US")</f>
        <v>US</v>
      </c>
      <c r="C1178" s="3" t="str">
        <f ca="1">IFERROR(__xludf.DUMMYFUNCTION("""COMPUTED_VALUE"""),"Oklahoma Christian University")</f>
        <v>Oklahoma Christian University</v>
      </c>
      <c r="D1178" s="4" t="str">
        <f ca="1">IFERROR(__xludf.DUMMYFUNCTION("""COMPUTED_VALUE"""),"http://www.oc.edu/")</f>
        <v>http://www.oc.edu/</v>
      </c>
      <c r="G1178" s="2" t="str">
        <f t="shared" ca="1" si="0"/>
        <v>Oklahoma Christian University</v>
      </c>
      <c r="H1178" s="5" t="str">
        <f t="shared" ca="1" si="1"/>
        <v>Oklahoma Christian University</v>
      </c>
      <c r="I1178" s="3" t="str">
        <f t="shared" ca="1" si="2"/>
        <v>'Oklahoma Christian University',</v>
      </c>
    </row>
    <row r="1179" spans="1:9">
      <c r="A1179" s="1" t="s">
        <v>1177</v>
      </c>
      <c r="B1179" s="3" t="str">
        <f ca="1">IFERROR(__xludf.DUMMYFUNCTION("SPLIT(A1179,"","")"),"US")</f>
        <v>US</v>
      </c>
      <c r="C1179" s="3" t="str">
        <f ca="1">IFERROR(__xludf.DUMMYFUNCTION("""COMPUTED_VALUE"""),"Oklahoma City University")</f>
        <v>Oklahoma City University</v>
      </c>
      <c r="D1179" s="4" t="str">
        <f ca="1">IFERROR(__xludf.DUMMYFUNCTION("""COMPUTED_VALUE"""),"http://www.okcu.edu/")</f>
        <v>http://www.okcu.edu/</v>
      </c>
      <c r="G1179" s="2" t="str">
        <f t="shared" ca="1" si="0"/>
        <v>Oklahoma City University</v>
      </c>
      <c r="H1179" s="5" t="str">
        <f t="shared" ca="1" si="1"/>
        <v>Oklahoma City University</v>
      </c>
      <c r="I1179" s="3" t="str">
        <f t="shared" ca="1" si="2"/>
        <v>'Oklahoma City University',</v>
      </c>
    </row>
    <row r="1180" spans="1:9">
      <c r="A1180" s="1" t="s">
        <v>1178</v>
      </c>
      <c r="B1180" s="3" t="str">
        <f ca="1">IFERROR(__xludf.DUMMYFUNCTION("SPLIT(A1180,"","")"),"US")</f>
        <v>US</v>
      </c>
      <c r="C1180" s="3" t="str">
        <f ca="1">IFERROR(__xludf.DUMMYFUNCTION("""COMPUTED_VALUE"""),"Oklahoma Panhandle State University")</f>
        <v>Oklahoma Panhandle State University</v>
      </c>
      <c r="D1180" s="4" t="str">
        <f ca="1">IFERROR(__xludf.DUMMYFUNCTION("""COMPUTED_VALUE"""),"http://www.opsu.edu/")</f>
        <v>http://www.opsu.edu/</v>
      </c>
      <c r="G1180" s="2" t="str">
        <f t="shared" ca="1" si="0"/>
        <v>Oklahoma Panhandle State University</v>
      </c>
      <c r="H1180" s="5" t="str">
        <f t="shared" ca="1" si="1"/>
        <v>Oklahoma Panhandle State University</v>
      </c>
      <c r="I1180" s="3" t="str">
        <f t="shared" ca="1" si="2"/>
        <v>'Oklahoma Panhandle State University',</v>
      </c>
    </row>
    <row r="1181" spans="1:9">
      <c r="A1181" s="1" t="s">
        <v>1179</v>
      </c>
      <c r="B1181" s="3" t="str">
        <f ca="1">IFERROR(__xludf.DUMMYFUNCTION("SPLIT(A1181,"","")"),"US")</f>
        <v>US</v>
      </c>
      <c r="C1181" s="3" t="str">
        <f ca="1">IFERROR(__xludf.DUMMYFUNCTION("""COMPUTED_VALUE"""),"Oklahoma State University")</f>
        <v>Oklahoma State University</v>
      </c>
      <c r="D1181" s="4" t="str">
        <f ca="1">IFERROR(__xludf.DUMMYFUNCTION("""COMPUTED_VALUE"""),"http://www.okstate.edu/")</f>
        <v>http://www.okstate.edu/</v>
      </c>
      <c r="G1181" s="2" t="str">
        <f t="shared" ca="1" si="0"/>
        <v>Oklahoma State University</v>
      </c>
      <c r="H1181" s="5" t="str">
        <f t="shared" ca="1" si="1"/>
        <v>Oklahoma State University</v>
      </c>
      <c r="I1181" s="3" t="str">
        <f t="shared" ca="1" si="2"/>
        <v>'Oklahoma State University',</v>
      </c>
    </row>
    <row r="1182" spans="1:9">
      <c r="A1182" s="1" t="s">
        <v>1180</v>
      </c>
      <c r="B1182" s="3" t="str">
        <f ca="1">IFERROR(__xludf.DUMMYFUNCTION("SPLIT(A1182,"","")"),"US")</f>
        <v>US</v>
      </c>
      <c r="C1182" s="3" t="str">
        <f ca="1">IFERROR(__xludf.DUMMYFUNCTION("""COMPUTED_VALUE"""),"Oklahoma State University Center for Health Sciences")</f>
        <v>Oklahoma State University Center for Health Sciences</v>
      </c>
      <c r="D1182" s="4" t="str">
        <f ca="1">IFERROR(__xludf.DUMMYFUNCTION("""COMPUTED_VALUE"""),"http://osu.com.okstate.edu/")</f>
        <v>http://osu.com.okstate.edu/</v>
      </c>
      <c r="G1182" s="2" t="str">
        <f t="shared" ca="1" si="0"/>
        <v>Oklahoma State University Center for Health Sciences</v>
      </c>
      <c r="H1182" s="5" t="str">
        <f t="shared" ca="1" si="1"/>
        <v>Oklahoma State University Center for Health Sciences</v>
      </c>
      <c r="I1182" s="3" t="str">
        <f t="shared" ca="1" si="2"/>
        <v>'Oklahoma State University Center for Health Sciences',</v>
      </c>
    </row>
    <row r="1183" spans="1:9">
      <c r="A1183" s="1" t="s">
        <v>1181</v>
      </c>
      <c r="B1183" s="3" t="str">
        <f ca="1">IFERROR(__xludf.DUMMYFUNCTION("SPLIT(A1183,"","")"),"US")</f>
        <v>US</v>
      </c>
      <c r="C1183" s="3" t="str">
        <f ca="1">IFERROR(__xludf.DUMMYFUNCTION("""COMPUTED_VALUE"""),"Oklahoma State University - Institute of Technology")</f>
        <v>Oklahoma State University - Institute of Technology</v>
      </c>
      <c r="D1183" s="4" t="str">
        <f ca="1">IFERROR(__xludf.DUMMYFUNCTION("""COMPUTED_VALUE"""),"http://www.osuit.edu/")</f>
        <v>http://www.osuit.edu/</v>
      </c>
      <c r="G1183" s="2" t="str">
        <f t="shared" ca="1" si="0"/>
        <v>Oklahoma State University - Institute of Technology</v>
      </c>
      <c r="H1183" s="5" t="str">
        <f t="shared" ca="1" si="1"/>
        <v>Oklahoma State University - Institute of Technology</v>
      </c>
      <c r="I1183" s="3" t="str">
        <f t="shared" ca="1" si="2"/>
        <v>'Oklahoma State University - Institute of Technology',</v>
      </c>
    </row>
    <row r="1184" spans="1:9">
      <c r="A1184" s="1" t="s">
        <v>1182</v>
      </c>
      <c r="B1184" s="3" t="str">
        <f ca="1">IFERROR(__xludf.DUMMYFUNCTION("SPLIT(A1184,"","")"),"US")</f>
        <v>US</v>
      </c>
      <c r="C1184" s="3" t="str">
        <f ca="1">IFERROR(__xludf.DUMMYFUNCTION("""COMPUTED_VALUE"""),"Oklahoma State University - Oklahoma City")</f>
        <v>Oklahoma State University - Oklahoma City</v>
      </c>
      <c r="D1184" s="4" t="str">
        <f ca="1">IFERROR(__xludf.DUMMYFUNCTION("""COMPUTED_VALUE"""),"http://www.osuokc.edu/")</f>
        <v>http://www.osuokc.edu/</v>
      </c>
      <c r="G1184" s="2" t="str">
        <f t="shared" ca="1" si="0"/>
        <v>Oklahoma State University - Oklahoma City</v>
      </c>
      <c r="H1184" s="5" t="str">
        <f t="shared" ca="1" si="1"/>
        <v>Oklahoma State University - Oklahoma City</v>
      </c>
      <c r="I1184" s="3" t="str">
        <f t="shared" ca="1" si="2"/>
        <v>'Oklahoma State University - Oklahoma City',</v>
      </c>
    </row>
    <row r="1185" spans="1:9">
      <c r="A1185" s="1" t="s">
        <v>1183</v>
      </c>
      <c r="B1185" s="3" t="str">
        <f ca="1">IFERROR(__xludf.DUMMYFUNCTION("SPLIT(A1185,"","")"),"US")</f>
        <v>US</v>
      </c>
      <c r="C1185" s="3" t="str">
        <f ca="1">IFERROR(__xludf.DUMMYFUNCTION("""COMPUTED_VALUE"""),"Oklahoma State University - Tulsa")</f>
        <v>Oklahoma State University - Tulsa</v>
      </c>
      <c r="D1185" s="4" t="str">
        <f ca="1">IFERROR(__xludf.DUMMYFUNCTION("""COMPUTED_VALUE"""),"http://www.osu-tulsa.okstate.edu/")</f>
        <v>http://www.osu-tulsa.okstate.edu/</v>
      </c>
      <c r="G1185" s="2" t="str">
        <f t="shared" ca="1" si="0"/>
        <v>Oklahoma State University - Tulsa</v>
      </c>
      <c r="H1185" s="5" t="str">
        <f t="shared" ca="1" si="1"/>
        <v>Oklahoma State University - Tulsa</v>
      </c>
      <c r="I1185" s="3" t="str">
        <f t="shared" ca="1" si="2"/>
        <v>'Oklahoma State University - Tulsa',</v>
      </c>
    </row>
    <row r="1186" spans="1:9">
      <c r="A1186" s="1" t="s">
        <v>1184</v>
      </c>
      <c r="B1186" s="3" t="str">
        <f ca="1">IFERROR(__xludf.DUMMYFUNCTION("SPLIT(A1186,"","")"),"US")</f>
        <v>US</v>
      </c>
      <c r="C1186" s="3" t="str">
        <f ca="1">IFERROR(__xludf.DUMMYFUNCTION("""COMPUTED_VALUE"""),"Old Dominion University")</f>
        <v>Old Dominion University</v>
      </c>
      <c r="D1186" s="4" t="str">
        <f ca="1">IFERROR(__xludf.DUMMYFUNCTION("""COMPUTED_VALUE"""),"http://www.odu.edu/")</f>
        <v>http://www.odu.edu/</v>
      </c>
      <c r="G1186" s="2" t="str">
        <f t="shared" ca="1" si="0"/>
        <v>Old Dominion University</v>
      </c>
      <c r="H1186" s="5" t="str">
        <f t="shared" ca="1" si="1"/>
        <v>Old Dominion University</v>
      </c>
      <c r="I1186" s="3" t="str">
        <f t="shared" ca="1" si="2"/>
        <v>'Old Dominion University',</v>
      </c>
    </row>
    <row r="1187" spans="1:9">
      <c r="A1187" s="1" t="s">
        <v>1185</v>
      </c>
      <c r="B1187" s="3" t="str">
        <f ca="1">IFERROR(__xludf.DUMMYFUNCTION("SPLIT(A1187,"","")"),"US")</f>
        <v>US</v>
      </c>
      <c r="C1187" s="3" t="str">
        <f ca="1">IFERROR(__xludf.DUMMYFUNCTION("""COMPUTED_VALUE"""),"Olive-Harvey College")</f>
        <v>Olive-Harvey College</v>
      </c>
      <c r="D1187" s="4" t="str">
        <f ca="1">IFERROR(__xludf.DUMMYFUNCTION("""COMPUTED_VALUE"""),"http://www.ccc.edu/oliveharvey/")</f>
        <v>http://www.ccc.edu/oliveharvey/</v>
      </c>
      <c r="G1187" s="2" t="str">
        <f t="shared" ca="1" si="0"/>
        <v>Olive-Harvey College</v>
      </c>
      <c r="H1187" s="5" t="str">
        <f t="shared" ca="1" si="1"/>
        <v>Olive-Harvey College</v>
      </c>
      <c r="I1187" s="3" t="str">
        <f t="shared" ca="1" si="2"/>
        <v>'Olive-Harvey College',</v>
      </c>
    </row>
    <row r="1188" spans="1:9">
      <c r="A1188" s="1" t="s">
        <v>1186</v>
      </c>
      <c r="B1188" s="3" t="str">
        <f ca="1">IFERROR(__xludf.DUMMYFUNCTION("SPLIT(A1188,"","")"),"US")</f>
        <v>US</v>
      </c>
      <c r="C1188" s="3" t="str">
        <f ca="1">IFERROR(__xludf.DUMMYFUNCTION("""COMPUTED_VALUE"""),"Olivet College")</f>
        <v>Olivet College</v>
      </c>
      <c r="D1188" s="4" t="str">
        <f ca="1">IFERROR(__xludf.DUMMYFUNCTION("""COMPUTED_VALUE"""),"http://www.olivetcollege.edu/")</f>
        <v>http://www.olivetcollege.edu/</v>
      </c>
      <c r="G1188" s="2" t="str">
        <f t="shared" ca="1" si="0"/>
        <v>Olivet College</v>
      </c>
      <c r="H1188" s="5" t="str">
        <f t="shared" ca="1" si="1"/>
        <v>Olivet College</v>
      </c>
      <c r="I1188" s="3" t="str">
        <f t="shared" ca="1" si="2"/>
        <v>'Olivet College',</v>
      </c>
    </row>
    <row r="1189" spans="1:9">
      <c r="A1189" s="1" t="s">
        <v>1187</v>
      </c>
      <c r="B1189" s="3" t="str">
        <f ca="1">IFERROR(__xludf.DUMMYFUNCTION("SPLIT(A1189,"","")"),"US")</f>
        <v>US</v>
      </c>
      <c r="C1189" s="3" t="str">
        <f ca="1">IFERROR(__xludf.DUMMYFUNCTION("""COMPUTED_VALUE"""),"Olivet Nazarene University")</f>
        <v>Olivet Nazarene University</v>
      </c>
      <c r="D1189" s="4" t="str">
        <f ca="1">IFERROR(__xludf.DUMMYFUNCTION("""COMPUTED_VALUE"""),"http://www.olivet.edu/")</f>
        <v>http://www.olivet.edu/</v>
      </c>
      <c r="G1189" s="2" t="str">
        <f t="shared" ca="1" si="0"/>
        <v>Olivet Nazarene University</v>
      </c>
      <c r="H1189" s="5" t="str">
        <f t="shared" ca="1" si="1"/>
        <v>Olivet Nazarene University</v>
      </c>
      <c r="I1189" s="3" t="str">
        <f t="shared" ca="1" si="2"/>
        <v>'Olivet Nazarene University',</v>
      </c>
    </row>
    <row r="1190" spans="1:9">
      <c r="A1190" s="1" t="s">
        <v>1188</v>
      </c>
      <c r="B1190" s="3" t="str">
        <f ca="1">IFERROR(__xludf.DUMMYFUNCTION("SPLIT(A1190,"","")"),"US")</f>
        <v>US</v>
      </c>
      <c r="C1190" s="3" t="str">
        <f ca="1">IFERROR(__xludf.DUMMYFUNCTION("""COMPUTED_VALUE"""),"O'More College of Design")</f>
        <v>O'More College of Design</v>
      </c>
      <c r="D1190" s="4" t="str">
        <f ca="1">IFERROR(__xludf.DUMMYFUNCTION("""COMPUTED_VALUE"""),"http://www.omorecollege.edu/")</f>
        <v>http://www.omorecollege.edu/</v>
      </c>
      <c r="G1190" s="2" t="str">
        <f t="shared" ca="1" si="0"/>
        <v>O'More College of Design</v>
      </c>
      <c r="H1190" s="5" t="str">
        <f t="shared" ca="1" si="1"/>
        <v>O'More College of Design</v>
      </c>
      <c r="I1190" s="3" t="str">
        <f t="shared" ca="1" si="2"/>
        <v>'O'More College of Design',</v>
      </c>
    </row>
    <row r="1191" spans="1:9">
      <c r="A1191" s="1" t="s">
        <v>1189</v>
      </c>
      <c r="B1191" s="3" t="str">
        <f ca="1">IFERROR(__xludf.DUMMYFUNCTION("SPLIT(A1191,"","")"),"US")</f>
        <v>US</v>
      </c>
      <c r="C1191" s="3" t="str">
        <f ca="1">IFERROR(__xludf.DUMMYFUNCTION("""COMPUTED_VALUE"""),"Oral Roberts University")</f>
        <v>Oral Roberts University</v>
      </c>
      <c r="D1191" s="4" t="str">
        <f ca="1">IFERROR(__xludf.DUMMYFUNCTION("""COMPUTED_VALUE"""),"http://www.oru.edu/")</f>
        <v>http://www.oru.edu/</v>
      </c>
      <c r="G1191" s="2" t="str">
        <f t="shared" ca="1" si="0"/>
        <v>Oral Roberts University</v>
      </c>
      <c r="H1191" s="5" t="str">
        <f t="shared" ca="1" si="1"/>
        <v>Oral Roberts University</v>
      </c>
      <c r="I1191" s="3" t="str">
        <f t="shared" ca="1" si="2"/>
        <v>'Oral Roberts University',</v>
      </c>
    </row>
    <row r="1192" spans="1:9">
      <c r="A1192" s="1" t="s">
        <v>1190</v>
      </c>
      <c r="B1192" s="3" t="str">
        <f ca="1">IFERROR(__xludf.DUMMYFUNCTION("SPLIT(A1192,"","")"),"US")</f>
        <v>US</v>
      </c>
      <c r="C1192" s="3" t="str">
        <f ca="1">IFERROR(__xludf.DUMMYFUNCTION("""COMPUTED_VALUE"""),"Oregon College of Arts and Crafts")</f>
        <v>Oregon College of Arts and Crafts</v>
      </c>
      <c r="D1192" s="4" t="str">
        <f ca="1">IFERROR(__xludf.DUMMYFUNCTION("""COMPUTED_VALUE"""),"http://www.ocac.edu/")</f>
        <v>http://www.ocac.edu/</v>
      </c>
      <c r="G1192" s="2" t="str">
        <f t="shared" ca="1" si="0"/>
        <v>Oregon College of Arts and Crafts</v>
      </c>
      <c r="H1192" s="5" t="str">
        <f t="shared" ca="1" si="1"/>
        <v>Oregon College of Arts and Crafts</v>
      </c>
      <c r="I1192" s="3" t="str">
        <f t="shared" ca="1" si="2"/>
        <v>'Oregon College of Arts and Crafts',</v>
      </c>
    </row>
    <row r="1193" spans="1:9">
      <c r="A1193" s="1" t="s">
        <v>1191</v>
      </c>
      <c r="B1193" s="3" t="str">
        <f ca="1">IFERROR(__xludf.DUMMYFUNCTION("SPLIT(A1193,"","")"),"US")</f>
        <v>US</v>
      </c>
      <c r="C1193" s="3" t="str">
        <f ca="1">IFERROR(__xludf.DUMMYFUNCTION("""COMPUTED_VALUE"""),"Oregon Graduate Institute of Science and Technology")</f>
        <v>Oregon Graduate Institute of Science and Technology</v>
      </c>
      <c r="D1193" s="4" t="str">
        <f ca="1">IFERROR(__xludf.DUMMYFUNCTION("""COMPUTED_VALUE"""),"http://www.ogi.edu/")</f>
        <v>http://www.ogi.edu/</v>
      </c>
      <c r="G1193" s="2" t="str">
        <f t="shared" ca="1" si="0"/>
        <v>Oregon Graduate Institute of Science and Technology</v>
      </c>
      <c r="H1193" s="5" t="str">
        <f t="shared" ca="1" si="1"/>
        <v>Oregon Graduate Institute of Science and Technology</v>
      </c>
      <c r="I1193" s="3" t="str">
        <f t="shared" ca="1" si="2"/>
        <v>'Oregon Graduate Institute of Science and Technology',</v>
      </c>
    </row>
    <row r="1194" spans="1:9">
      <c r="A1194" s="1" t="s">
        <v>1192</v>
      </c>
      <c r="B1194" s="3" t="str">
        <f ca="1">IFERROR(__xludf.DUMMYFUNCTION("SPLIT(A1194,"","")"),"US")</f>
        <v>US</v>
      </c>
      <c r="C1194" s="3" t="str">
        <f ca="1">IFERROR(__xludf.DUMMYFUNCTION("""COMPUTED_VALUE"""),"Oregon Health Sciences University")</f>
        <v>Oregon Health Sciences University</v>
      </c>
      <c r="D1194" s="4" t="str">
        <f ca="1">IFERROR(__xludf.DUMMYFUNCTION("""COMPUTED_VALUE"""),"http://www.ohsu.edu/")</f>
        <v>http://www.ohsu.edu/</v>
      </c>
      <c r="G1194" s="2" t="str">
        <f t="shared" ca="1" si="0"/>
        <v>Oregon Health Sciences University</v>
      </c>
      <c r="H1194" s="5" t="str">
        <f t="shared" ca="1" si="1"/>
        <v>Oregon Health Sciences University</v>
      </c>
      <c r="I1194" s="3" t="str">
        <f t="shared" ca="1" si="2"/>
        <v>'Oregon Health Sciences University',</v>
      </c>
    </row>
    <row r="1195" spans="1:9">
      <c r="A1195" s="1" t="s">
        <v>1193</v>
      </c>
      <c r="B1195" s="3" t="str">
        <f ca="1">IFERROR(__xludf.DUMMYFUNCTION("SPLIT(A1195,"","")"),"US")</f>
        <v>US</v>
      </c>
      <c r="C1195" s="3" t="str">
        <f ca="1">IFERROR(__xludf.DUMMYFUNCTION("""COMPUTED_VALUE"""),"Oregon Institute of Technology")</f>
        <v>Oregon Institute of Technology</v>
      </c>
      <c r="D1195" s="4" t="str">
        <f ca="1">IFERROR(__xludf.DUMMYFUNCTION("""COMPUTED_VALUE"""),"http://www.oit.edu/")</f>
        <v>http://www.oit.edu/</v>
      </c>
      <c r="G1195" s="2" t="str">
        <f t="shared" ca="1" si="0"/>
        <v>Oregon Institute of Technology</v>
      </c>
      <c r="H1195" s="5" t="str">
        <f t="shared" ca="1" si="1"/>
        <v>Oregon Institute of Technology</v>
      </c>
      <c r="I1195" s="3" t="str">
        <f t="shared" ca="1" si="2"/>
        <v>'Oregon Institute of Technology',</v>
      </c>
    </row>
    <row r="1196" spans="1:9">
      <c r="A1196" s="1" t="s">
        <v>1194</v>
      </c>
      <c r="B1196" s="3" t="str">
        <f ca="1">IFERROR(__xludf.DUMMYFUNCTION("SPLIT(A1196,"","")"),"US")</f>
        <v>US</v>
      </c>
      <c r="C1196" s="3" t="str">
        <f ca="1">IFERROR(__xludf.DUMMYFUNCTION("""COMPUTED_VALUE"""),"Oregon State University")</f>
        <v>Oregon State University</v>
      </c>
      <c r="D1196" s="4" t="str">
        <f ca="1">IFERROR(__xludf.DUMMYFUNCTION("""COMPUTED_VALUE"""),"http://www.orst.edu/")</f>
        <v>http://www.orst.edu/</v>
      </c>
      <c r="G1196" s="2" t="str">
        <f t="shared" ca="1" si="0"/>
        <v>Oregon State University</v>
      </c>
      <c r="H1196" s="5" t="str">
        <f t="shared" ca="1" si="1"/>
        <v>Oregon State University</v>
      </c>
      <c r="I1196" s="3" t="str">
        <f t="shared" ca="1" si="2"/>
        <v>'Oregon State University',</v>
      </c>
    </row>
    <row r="1197" spans="1:9">
      <c r="A1197" s="1" t="s">
        <v>1195</v>
      </c>
      <c r="B1197" s="3" t="str">
        <f ca="1">IFERROR(__xludf.DUMMYFUNCTION("SPLIT(A1197,"","")"),"US")</f>
        <v>US</v>
      </c>
      <c r="C1197" s="3" t="str">
        <f ca="1">IFERROR(__xludf.DUMMYFUNCTION("""COMPUTED_VALUE"""),"Otis College of Art &amp; Design")</f>
        <v>Otis College of Art &amp; Design</v>
      </c>
      <c r="D1197" s="4" t="str">
        <f ca="1">IFERROR(__xludf.DUMMYFUNCTION("""COMPUTED_VALUE"""),"http://www.otisart.edu/")</f>
        <v>http://www.otisart.edu/</v>
      </c>
      <c r="G1197" s="2" t="str">
        <f t="shared" ca="1" si="0"/>
        <v>Otis College of Art &amp; Design</v>
      </c>
      <c r="H1197" s="5" t="str">
        <f t="shared" ca="1" si="1"/>
        <v>Otis College of Art &amp; Design</v>
      </c>
      <c r="I1197" s="3" t="str">
        <f t="shared" ca="1" si="2"/>
        <v>'Otis College of Art &amp; Design',</v>
      </c>
    </row>
    <row r="1198" spans="1:9">
      <c r="A1198" s="1" t="s">
        <v>1196</v>
      </c>
      <c r="B1198" s="3" t="str">
        <f ca="1">IFERROR(__xludf.DUMMYFUNCTION("SPLIT(A1198,"","")"),"US")</f>
        <v>US</v>
      </c>
      <c r="C1198" s="3" t="str">
        <f ca="1">IFERROR(__xludf.DUMMYFUNCTION("""COMPUTED_VALUE"""),"Ottawa University")</f>
        <v>Ottawa University</v>
      </c>
      <c r="D1198" s="4" t="str">
        <f ca="1">IFERROR(__xludf.DUMMYFUNCTION("""COMPUTED_VALUE"""),"http://www.ottawa.edu/")</f>
        <v>http://www.ottawa.edu/</v>
      </c>
      <c r="G1198" s="2" t="str">
        <f t="shared" ca="1" si="0"/>
        <v>Ottawa University</v>
      </c>
      <c r="H1198" s="5" t="str">
        <f t="shared" ca="1" si="1"/>
        <v>Ottawa University</v>
      </c>
      <c r="I1198" s="3" t="str">
        <f t="shared" ca="1" si="2"/>
        <v>'Ottawa University',</v>
      </c>
    </row>
    <row r="1199" spans="1:9">
      <c r="A1199" s="1" t="s">
        <v>1197</v>
      </c>
      <c r="B1199" s="3" t="str">
        <f ca="1">IFERROR(__xludf.DUMMYFUNCTION("SPLIT(A1199,"","")"),"US")</f>
        <v>US</v>
      </c>
      <c r="C1199" s="3" t="str">
        <f ca="1">IFERROR(__xludf.DUMMYFUNCTION("""COMPUTED_VALUE"""),"Otterbein College")</f>
        <v>Otterbein College</v>
      </c>
      <c r="D1199" s="4" t="str">
        <f ca="1">IFERROR(__xludf.DUMMYFUNCTION("""COMPUTED_VALUE"""),"http://www.otterbein.edu/")</f>
        <v>http://www.otterbein.edu/</v>
      </c>
      <c r="G1199" s="2" t="str">
        <f t="shared" ca="1" si="0"/>
        <v>Otterbein College</v>
      </c>
      <c r="H1199" s="5" t="str">
        <f t="shared" ca="1" si="1"/>
        <v>Otterbein College</v>
      </c>
      <c r="I1199" s="3" t="str">
        <f t="shared" ca="1" si="2"/>
        <v>'Otterbein College',</v>
      </c>
    </row>
    <row r="1200" spans="1:9">
      <c r="A1200" s="1" t="s">
        <v>1198</v>
      </c>
      <c r="B1200" s="3" t="str">
        <f ca="1">IFERROR(__xludf.DUMMYFUNCTION("SPLIT(A1200,"","")"),"US")</f>
        <v>US</v>
      </c>
      <c r="C1200" s="3" t="str">
        <f ca="1">IFERROR(__xludf.DUMMYFUNCTION("""COMPUTED_VALUE"""),"Ouachita Baptist University")</f>
        <v>Ouachita Baptist University</v>
      </c>
      <c r="D1200" s="4" t="str">
        <f ca="1">IFERROR(__xludf.DUMMYFUNCTION("""COMPUTED_VALUE"""),"http://www.obu.edu/")</f>
        <v>http://www.obu.edu/</v>
      </c>
      <c r="G1200" s="2" t="str">
        <f t="shared" ca="1" si="0"/>
        <v>Ouachita Baptist University</v>
      </c>
      <c r="H1200" s="5" t="str">
        <f t="shared" ca="1" si="1"/>
        <v>Ouachita Baptist University</v>
      </c>
      <c r="I1200" s="3" t="str">
        <f t="shared" ca="1" si="2"/>
        <v>'Ouachita Baptist University',</v>
      </c>
    </row>
    <row r="1201" spans="1:9">
      <c r="A1201" s="1" t="s">
        <v>1199</v>
      </c>
      <c r="B1201" s="3" t="str">
        <f ca="1">IFERROR(__xludf.DUMMYFUNCTION("SPLIT(A1201,"","")"),"US")</f>
        <v>US</v>
      </c>
      <c r="C1201" s="3" t="str">
        <f ca="1">IFERROR(__xludf.DUMMYFUNCTION("""COMPUTED_VALUE"""),"Our Lady of Holy Cross College")</f>
        <v>Our Lady of Holy Cross College</v>
      </c>
      <c r="D1201" s="4" t="str">
        <f ca="1">IFERROR(__xludf.DUMMYFUNCTION("""COMPUTED_VALUE"""),"http://www.olhcc.edu/")</f>
        <v>http://www.olhcc.edu/</v>
      </c>
      <c r="G1201" s="2" t="str">
        <f t="shared" ca="1" si="0"/>
        <v>Our Lady of Holy Cross College</v>
      </c>
      <c r="H1201" s="5" t="str">
        <f t="shared" ca="1" si="1"/>
        <v>Our Lady of Holy Cross College</v>
      </c>
      <c r="I1201" s="3" t="str">
        <f t="shared" ca="1" si="2"/>
        <v>'Our Lady of Holy Cross College',</v>
      </c>
    </row>
    <row r="1202" spans="1:9">
      <c r="A1202" s="1" t="s">
        <v>1200</v>
      </c>
      <c r="B1202" s="3" t="str">
        <f ca="1">IFERROR(__xludf.DUMMYFUNCTION("SPLIT(A1202,"","")"),"US")</f>
        <v>US</v>
      </c>
      <c r="C1202" s="3" t="str">
        <f ca="1">IFERROR(__xludf.DUMMYFUNCTION("""COMPUTED_VALUE"""),"Our Lady of the Lake University")</f>
        <v>Our Lady of the Lake University</v>
      </c>
      <c r="D1202" s="4" t="str">
        <f ca="1">IFERROR(__xludf.DUMMYFUNCTION("""COMPUTED_VALUE"""),"http://www.ollusa.edu/")</f>
        <v>http://www.ollusa.edu/</v>
      </c>
      <c r="G1202" s="2" t="str">
        <f t="shared" ca="1" si="0"/>
        <v>Our Lady of the Lake University</v>
      </c>
      <c r="H1202" s="5" t="str">
        <f t="shared" ca="1" si="1"/>
        <v>Our Lady of the Lake University</v>
      </c>
      <c r="I1202" s="3" t="str">
        <f t="shared" ca="1" si="2"/>
        <v>'Our Lady of the Lake University',</v>
      </c>
    </row>
    <row r="1203" spans="1:9">
      <c r="A1203" s="1" t="s">
        <v>1201</v>
      </c>
      <c r="B1203" s="3" t="str">
        <f ca="1">IFERROR(__xludf.DUMMYFUNCTION("SPLIT(A1203,"","")"),"US")</f>
        <v>US</v>
      </c>
      <c r="C1203" s="3" t="str">
        <f ca="1">IFERROR(__xludf.DUMMYFUNCTION("""COMPUTED_VALUE"""),"Ozark Christian College")</f>
        <v>Ozark Christian College</v>
      </c>
      <c r="D1203" s="4" t="str">
        <f ca="1">IFERROR(__xludf.DUMMYFUNCTION("""COMPUTED_VALUE"""),"http://www.occ.edu/")</f>
        <v>http://www.occ.edu/</v>
      </c>
      <c r="G1203" s="2" t="str">
        <f t="shared" ca="1" si="0"/>
        <v>Ozark Christian College</v>
      </c>
      <c r="H1203" s="5" t="str">
        <f t="shared" ca="1" si="1"/>
        <v>Ozark Christian College</v>
      </c>
      <c r="I1203" s="3" t="str">
        <f t="shared" ca="1" si="2"/>
        <v>'Ozark Christian College',</v>
      </c>
    </row>
    <row r="1204" spans="1:9">
      <c r="A1204" s="1" t="s">
        <v>1202</v>
      </c>
      <c r="B1204" s="3" t="str">
        <f ca="1">IFERROR(__xludf.DUMMYFUNCTION("SPLIT(A1204,"","")"),"US")</f>
        <v>US</v>
      </c>
      <c r="C1204" s="3" t="str">
        <f ca="1">IFERROR(__xludf.DUMMYFUNCTION("""COMPUTED_VALUE"""),"Pace University")</f>
        <v>Pace University</v>
      </c>
      <c r="D1204" s="4" t="str">
        <f ca="1">IFERROR(__xludf.DUMMYFUNCTION("""COMPUTED_VALUE"""),"http://www.pace.edu/")</f>
        <v>http://www.pace.edu/</v>
      </c>
      <c r="G1204" s="2" t="str">
        <f t="shared" ca="1" si="0"/>
        <v>Pace University</v>
      </c>
      <c r="H1204" s="5" t="str">
        <f t="shared" ca="1" si="1"/>
        <v>Pace University</v>
      </c>
      <c r="I1204" s="3" t="str">
        <f t="shared" ca="1" si="2"/>
        <v>'Pace University',</v>
      </c>
    </row>
    <row r="1205" spans="1:9">
      <c r="A1205" s="1" t="s">
        <v>1203</v>
      </c>
      <c r="B1205" s="3" t="str">
        <f ca="1">IFERROR(__xludf.DUMMYFUNCTION("SPLIT(A1205,"","")"),"US")</f>
        <v>US</v>
      </c>
      <c r="C1205" s="3" t="str">
        <f ca="1">IFERROR(__xludf.DUMMYFUNCTION("""COMPUTED_VALUE"""),"Pace University  Pleasantville/Briarcliff")</f>
        <v>Pace University  Pleasantville/Briarcliff</v>
      </c>
      <c r="D1205" s="4" t="str">
        <f ca="1">IFERROR(__xludf.DUMMYFUNCTION("""COMPUTED_VALUE"""),"http://www.pace.edu/campus/pville.html")</f>
        <v>http://www.pace.edu/campus/pville.html</v>
      </c>
      <c r="G1205" s="2" t="str">
        <f t="shared" ca="1" si="0"/>
        <v>Pace University  Pleasantville/Briarcliff</v>
      </c>
      <c r="H1205" s="5" t="str">
        <f t="shared" ca="1" si="1"/>
        <v>Pace University  Pleasantville/Briarcliff</v>
      </c>
      <c r="I1205" s="3" t="str">
        <f t="shared" ca="1" si="2"/>
        <v>'Pace University  Pleasantville/Briarcliff',</v>
      </c>
    </row>
    <row r="1206" spans="1:9">
      <c r="A1206" s="1" t="s">
        <v>1204</v>
      </c>
      <c r="B1206" s="3" t="str">
        <f ca="1">IFERROR(__xludf.DUMMYFUNCTION("SPLIT(A1206,"","")"),"US")</f>
        <v>US</v>
      </c>
      <c r="C1206" s="3" t="str">
        <f ca="1">IFERROR(__xludf.DUMMYFUNCTION("""COMPUTED_VALUE"""),"Pacifica Graduate Institute")</f>
        <v>Pacifica Graduate Institute</v>
      </c>
      <c r="D1206" s="4" t="str">
        <f ca="1">IFERROR(__xludf.DUMMYFUNCTION("""COMPUTED_VALUE"""),"http://www.pacifica.edu/")</f>
        <v>http://www.pacifica.edu/</v>
      </c>
      <c r="G1206" s="2" t="str">
        <f t="shared" ca="1" si="0"/>
        <v>Pacifica Graduate Institute</v>
      </c>
      <c r="H1206" s="5" t="str">
        <f t="shared" ca="1" si="1"/>
        <v>Pacifica Graduate Institute</v>
      </c>
      <c r="I1206" s="3" t="str">
        <f t="shared" ca="1" si="2"/>
        <v>'Pacifica Graduate Institute',</v>
      </c>
    </row>
    <row r="1207" spans="1:9">
      <c r="A1207" s="1" t="s">
        <v>1205</v>
      </c>
      <c r="B1207" s="3" t="str">
        <f ca="1">IFERROR(__xludf.DUMMYFUNCTION("SPLIT(A1207,"","")"),"US")</f>
        <v>US</v>
      </c>
      <c r="C1207" s="3" t="str">
        <f ca="1">IFERROR(__xludf.DUMMYFUNCTION("""COMPUTED_VALUE"""),"Pacific College of Oriental Medicine")</f>
        <v>Pacific College of Oriental Medicine</v>
      </c>
      <c r="D1207" s="4" t="str">
        <f ca="1">IFERROR(__xludf.DUMMYFUNCTION("""COMPUTED_VALUE"""),"http://www.ormed.edu/")</f>
        <v>http://www.ormed.edu/</v>
      </c>
      <c r="G1207" s="2" t="str">
        <f t="shared" ca="1" si="0"/>
        <v>Pacific College of Oriental Medicine</v>
      </c>
      <c r="H1207" s="5" t="str">
        <f t="shared" ca="1" si="1"/>
        <v>Pacific College of Oriental Medicine</v>
      </c>
      <c r="I1207" s="3" t="str">
        <f t="shared" ca="1" si="2"/>
        <v>'Pacific College of Oriental Medicine',</v>
      </c>
    </row>
    <row r="1208" spans="1:9">
      <c r="A1208" s="1" t="s">
        <v>1206</v>
      </c>
      <c r="B1208" s="3" t="str">
        <f ca="1">IFERROR(__xludf.DUMMYFUNCTION("SPLIT(A1208,"","")"),"US")</f>
        <v>US</v>
      </c>
      <c r="C1208" s="3" t="str">
        <f ca="1">IFERROR(__xludf.DUMMYFUNCTION("""COMPUTED_VALUE"""),"Pacific Graduate School of Psychology")</f>
        <v>Pacific Graduate School of Psychology</v>
      </c>
      <c r="D1208" s="4" t="str">
        <f ca="1">IFERROR(__xludf.DUMMYFUNCTION("""COMPUTED_VALUE"""),"http://www.pgsp.edu/")</f>
        <v>http://www.pgsp.edu/</v>
      </c>
      <c r="G1208" s="2" t="str">
        <f t="shared" ca="1" si="0"/>
        <v>Pacific Graduate School of Psychology</v>
      </c>
      <c r="H1208" s="5" t="str">
        <f t="shared" ca="1" si="1"/>
        <v>Pacific Graduate School of Psychology</v>
      </c>
      <c r="I1208" s="3" t="str">
        <f t="shared" ca="1" si="2"/>
        <v>'Pacific Graduate School of Psychology',</v>
      </c>
    </row>
    <row r="1209" spans="1:9">
      <c r="A1209" s="1" t="s">
        <v>1207</v>
      </c>
      <c r="B1209" s="3" t="str">
        <f ca="1">IFERROR(__xludf.DUMMYFUNCTION("SPLIT(A1209,"","")"),"US")</f>
        <v>US</v>
      </c>
      <c r="C1209" s="3" t="str">
        <f ca="1">IFERROR(__xludf.DUMMYFUNCTION("""COMPUTED_VALUE"""),"Pacific Lutheran University")</f>
        <v>Pacific Lutheran University</v>
      </c>
      <c r="D1209" s="4" t="str">
        <f ca="1">IFERROR(__xludf.DUMMYFUNCTION("""COMPUTED_VALUE"""),"http://www.plu.edu/")</f>
        <v>http://www.plu.edu/</v>
      </c>
      <c r="G1209" s="2" t="str">
        <f t="shared" ca="1" si="0"/>
        <v>Pacific Lutheran University</v>
      </c>
      <c r="H1209" s="5" t="str">
        <f t="shared" ca="1" si="1"/>
        <v>Pacific Lutheran University</v>
      </c>
      <c r="I1209" s="3" t="str">
        <f t="shared" ca="1" si="2"/>
        <v>'Pacific Lutheran University',</v>
      </c>
    </row>
    <row r="1210" spans="1:9">
      <c r="A1210" s="1" t="s">
        <v>1208</v>
      </c>
      <c r="B1210" s="3" t="str">
        <f ca="1">IFERROR(__xludf.DUMMYFUNCTION("SPLIT(A1210,"","")"),"US")</f>
        <v>US</v>
      </c>
      <c r="C1210" s="3" t="str">
        <f ca="1">IFERROR(__xludf.DUMMYFUNCTION("""COMPUTED_VALUE"""),"Pacific Northwest College of Art")</f>
        <v>Pacific Northwest College of Art</v>
      </c>
      <c r="D1210" s="4" t="str">
        <f ca="1">IFERROR(__xludf.DUMMYFUNCTION("""COMPUTED_VALUE"""),"http://www.pnca.edu/")</f>
        <v>http://www.pnca.edu/</v>
      </c>
      <c r="G1210" s="2" t="str">
        <f t="shared" ca="1" si="0"/>
        <v>Pacific Northwest College of Art</v>
      </c>
      <c r="H1210" s="5" t="str">
        <f t="shared" ca="1" si="1"/>
        <v>Pacific Northwest College of Art</v>
      </c>
      <c r="I1210" s="3" t="str">
        <f t="shared" ca="1" si="2"/>
        <v>'Pacific Northwest College of Art',</v>
      </c>
    </row>
    <row r="1211" spans="1:9">
      <c r="A1211" s="1" t="s">
        <v>1209</v>
      </c>
      <c r="B1211" s="3" t="str">
        <f ca="1">IFERROR(__xludf.DUMMYFUNCTION("SPLIT(A1211,"","")"),"US")</f>
        <v>US</v>
      </c>
      <c r="C1211" s="3" t="str">
        <f ca="1">IFERROR(__xludf.DUMMYFUNCTION("""COMPUTED_VALUE"""),"Pacific Oaks College")</f>
        <v>Pacific Oaks College</v>
      </c>
      <c r="D1211" s="4" t="str">
        <f ca="1">IFERROR(__xludf.DUMMYFUNCTION("""COMPUTED_VALUE"""),"http://www.pacificoaks.edu/")</f>
        <v>http://www.pacificoaks.edu/</v>
      </c>
      <c r="G1211" s="2" t="str">
        <f t="shared" ca="1" si="0"/>
        <v>Pacific Oaks College</v>
      </c>
      <c r="H1211" s="5" t="str">
        <f t="shared" ca="1" si="1"/>
        <v>Pacific Oaks College</v>
      </c>
      <c r="I1211" s="3" t="str">
        <f t="shared" ca="1" si="2"/>
        <v>'Pacific Oaks College',</v>
      </c>
    </row>
    <row r="1212" spans="1:9">
      <c r="A1212" s="1" t="s">
        <v>1210</v>
      </c>
      <c r="B1212" s="3" t="str">
        <f ca="1">IFERROR(__xludf.DUMMYFUNCTION("SPLIT(A1212,"","")"),"US")</f>
        <v>US</v>
      </c>
      <c r="C1212" s="3" t="str">
        <f ca="1">IFERROR(__xludf.DUMMYFUNCTION("""COMPUTED_VALUE"""),"Pacific Union College")</f>
        <v>Pacific Union College</v>
      </c>
      <c r="D1212" s="4" t="str">
        <f ca="1">IFERROR(__xludf.DUMMYFUNCTION("""COMPUTED_VALUE"""),"http://www.puc.edu/")</f>
        <v>http://www.puc.edu/</v>
      </c>
      <c r="G1212" s="2" t="str">
        <f t="shared" ca="1" si="0"/>
        <v>Pacific Union College</v>
      </c>
      <c r="H1212" s="5" t="str">
        <f t="shared" ca="1" si="1"/>
        <v>Pacific Union College</v>
      </c>
      <c r="I1212" s="3" t="str">
        <f t="shared" ca="1" si="2"/>
        <v>'Pacific Union College',</v>
      </c>
    </row>
    <row r="1213" spans="1:9">
      <c r="A1213" s="1" t="s">
        <v>1211</v>
      </c>
      <c r="B1213" s="3" t="str">
        <f ca="1">IFERROR(__xludf.DUMMYFUNCTION("SPLIT(A1213,"","")"),"US")</f>
        <v>US</v>
      </c>
      <c r="C1213" s="3" t="str">
        <f ca="1">IFERROR(__xludf.DUMMYFUNCTION("""COMPUTED_VALUE"""),"Pacific University")</f>
        <v>Pacific University</v>
      </c>
      <c r="D1213" s="4" t="str">
        <f ca="1">IFERROR(__xludf.DUMMYFUNCTION("""COMPUTED_VALUE"""),"http://www.pacificu.edu/")</f>
        <v>http://www.pacificu.edu/</v>
      </c>
      <c r="G1213" s="2" t="str">
        <f t="shared" ca="1" si="0"/>
        <v>Pacific University</v>
      </c>
      <c r="H1213" s="5" t="str">
        <f t="shared" ca="1" si="1"/>
        <v>Pacific University</v>
      </c>
      <c r="I1213" s="3" t="str">
        <f t="shared" ca="1" si="2"/>
        <v>'Pacific University',</v>
      </c>
    </row>
    <row r="1214" spans="1:9">
      <c r="A1214" s="1" t="s">
        <v>1212</v>
      </c>
      <c r="B1214" s="3" t="str">
        <f ca="1">IFERROR(__xludf.DUMMYFUNCTION("SPLIT(A1214,"","")"),"US")</f>
        <v>US</v>
      </c>
      <c r="C1214" s="3" t="str">
        <f ca="1">IFERROR(__xludf.DUMMYFUNCTION("""COMPUTED_VALUE"""),"Paier College of Art")</f>
        <v>Paier College of Art</v>
      </c>
      <c r="D1214" s="4" t="str">
        <f ca="1">IFERROR(__xludf.DUMMYFUNCTION("""COMPUTED_VALUE"""),"http://www.paierart.com/")</f>
        <v>http://www.paierart.com/</v>
      </c>
      <c r="G1214" s="2" t="str">
        <f t="shared" ca="1" si="0"/>
        <v>Paier College of Art</v>
      </c>
      <c r="H1214" s="5" t="str">
        <f t="shared" ca="1" si="1"/>
        <v>Paier College of Art</v>
      </c>
      <c r="I1214" s="3" t="str">
        <f t="shared" ca="1" si="2"/>
        <v>'Paier College of Art',</v>
      </c>
    </row>
    <row r="1215" spans="1:9">
      <c r="A1215" s="1" t="s">
        <v>1213</v>
      </c>
      <c r="B1215" s="3" t="str">
        <f ca="1">IFERROR(__xludf.DUMMYFUNCTION("SPLIT(A1215,"","")"),"US")</f>
        <v>US</v>
      </c>
      <c r="C1215" s="3" t="str">
        <f ca="1">IFERROR(__xludf.DUMMYFUNCTION("""COMPUTED_VALUE"""),"Paine College")</f>
        <v>Paine College</v>
      </c>
      <c r="D1215" s="4" t="str">
        <f ca="1">IFERROR(__xludf.DUMMYFUNCTION("""COMPUTED_VALUE"""),"http://www.paine.edu/")</f>
        <v>http://www.paine.edu/</v>
      </c>
      <c r="G1215" s="2" t="str">
        <f t="shared" ca="1" si="0"/>
        <v>Paine College</v>
      </c>
      <c r="H1215" s="5" t="str">
        <f t="shared" ca="1" si="1"/>
        <v>Paine College</v>
      </c>
      <c r="I1215" s="3" t="str">
        <f t="shared" ca="1" si="2"/>
        <v>'Paine College',</v>
      </c>
    </row>
    <row r="1216" spans="1:9">
      <c r="A1216" s="1" t="s">
        <v>1214</v>
      </c>
      <c r="B1216" s="3" t="str">
        <f ca="1">IFERROR(__xludf.DUMMYFUNCTION("SPLIT(A1216,"","")"),"US")</f>
        <v>US</v>
      </c>
      <c r="C1216" s="3" t="str">
        <f ca="1">IFERROR(__xludf.DUMMYFUNCTION("""COMPUTED_VALUE"""),"Palm Beach Atlantic University")</f>
        <v>Palm Beach Atlantic University</v>
      </c>
      <c r="D1216" s="4" t="str">
        <f ca="1">IFERROR(__xludf.DUMMYFUNCTION("""COMPUTED_VALUE"""),"http://www.pba.edu/")</f>
        <v>http://www.pba.edu/</v>
      </c>
      <c r="G1216" s="2" t="str">
        <f t="shared" ca="1" si="0"/>
        <v>Palm Beach Atlantic University</v>
      </c>
      <c r="H1216" s="5" t="str">
        <f t="shared" ca="1" si="1"/>
        <v>Palm Beach Atlantic University</v>
      </c>
      <c r="I1216" s="3" t="str">
        <f t="shared" ca="1" si="2"/>
        <v>'Palm Beach Atlantic University',</v>
      </c>
    </row>
    <row r="1217" spans="1:9">
      <c r="A1217" s="1" t="s">
        <v>1215</v>
      </c>
      <c r="B1217" s="3" t="str">
        <f ca="1">IFERROR(__xludf.DUMMYFUNCTION("SPLIT(A1217,"","")"),"US")</f>
        <v>US</v>
      </c>
      <c r="C1217" s="3" t="str">
        <f ca="1">IFERROR(__xludf.DUMMYFUNCTION("""COMPUTED_VALUE"""),"Palm Beach State College")</f>
        <v>Palm Beach State College</v>
      </c>
      <c r="D1217" s="4" t="str">
        <f ca="1">IFERROR(__xludf.DUMMYFUNCTION("""COMPUTED_VALUE"""),"http://www.palmbeachstate.edu/")</f>
        <v>http://www.palmbeachstate.edu/</v>
      </c>
      <c r="G1217" s="2" t="str">
        <f t="shared" ca="1" si="0"/>
        <v>Palm Beach State College</v>
      </c>
      <c r="H1217" s="5" t="str">
        <f t="shared" ca="1" si="1"/>
        <v>Palm Beach State College</v>
      </c>
      <c r="I1217" s="3" t="str">
        <f t="shared" ca="1" si="2"/>
        <v>'Palm Beach State College',</v>
      </c>
    </row>
    <row r="1218" spans="1:9">
      <c r="A1218" s="1" t="s">
        <v>1216</v>
      </c>
      <c r="B1218" s="3" t="str">
        <f ca="1">IFERROR(__xludf.DUMMYFUNCTION("SPLIT(A1218,"","")"),"US")</f>
        <v>US</v>
      </c>
      <c r="C1218" s="3" t="str">
        <f ca="1">IFERROR(__xludf.DUMMYFUNCTION("""COMPUTED_VALUE"""),"Palmer College of Chiropractic")</f>
        <v>Palmer College of Chiropractic</v>
      </c>
      <c r="D1218" s="4" t="str">
        <f ca="1">IFERROR(__xludf.DUMMYFUNCTION("""COMPUTED_VALUE"""),"http://www.palmer.edu/")</f>
        <v>http://www.palmer.edu/</v>
      </c>
      <c r="G1218" s="2" t="str">
        <f t="shared" ca="1" si="0"/>
        <v>Palmer College of Chiropractic</v>
      </c>
      <c r="H1218" s="5" t="str">
        <f t="shared" ca="1" si="1"/>
        <v>Palmer College of Chiropractic</v>
      </c>
      <c r="I1218" s="3" t="str">
        <f t="shared" ca="1" si="2"/>
        <v>'Palmer College of Chiropractic',</v>
      </c>
    </row>
    <row r="1219" spans="1:9">
      <c r="A1219" s="1" t="s">
        <v>1217</v>
      </c>
      <c r="B1219" s="3" t="str">
        <f ca="1">IFERROR(__xludf.DUMMYFUNCTION("SPLIT(A1219,"","")"),"US")</f>
        <v>US</v>
      </c>
      <c r="C1219" s="3" t="str">
        <f ca="1">IFERROR(__xludf.DUMMYFUNCTION("""COMPUTED_VALUE"""),"Palmer College of Chiropractic West")</f>
        <v>Palmer College of Chiropractic West</v>
      </c>
      <c r="D1219" s="4" t="str">
        <f ca="1">IFERROR(__xludf.DUMMYFUNCTION("""COMPUTED_VALUE"""),"http://www.palmer.edu/PCCW/pcwmain.htm")</f>
        <v>http://www.palmer.edu/PCCW/pcwmain.htm</v>
      </c>
      <c r="G1219" s="2" t="str">
        <f t="shared" ca="1" si="0"/>
        <v>Palmer College of Chiropractic West</v>
      </c>
      <c r="H1219" s="5" t="str">
        <f t="shared" ca="1" si="1"/>
        <v>Palmer College of Chiropractic West</v>
      </c>
      <c r="I1219" s="3" t="str">
        <f t="shared" ca="1" si="2"/>
        <v>'Palmer College of Chiropractic West',</v>
      </c>
    </row>
    <row r="1220" spans="1:9">
      <c r="A1220" s="1" t="s">
        <v>1218</v>
      </c>
      <c r="B1220" s="3" t="str">
        <f ca="1">IFERROR(__xludf.DUMMYFUNCTION("SPLIT(A1220,"","")"),"US")</f>
        <v>US</v>
      </c>
      <c r="C1220" s="3" t="str">
        <f ca="1">IFERROR(__xludf.DUMMYFUNCTION("""COMPUTED_VALUE"""),"Park College")</f>
        <v>Park College</v>
      </c>
      <c r="D1220" s="4" t="str">
        <f ca="1">IFERROR(__xludf.DUMMYFUNCTION("""COMPUTED_VALUE"""),"http://www.park.edu/")</f>
        <v>http://www.park.edu/</v>
      </c>
      <c r="G1220" s="2" t="str">
        <f t="shared" ca="1" si="0"/>
        <v>Park College</v>
      </c>
      <c r="H1220" s="5" t="str">
        <f t="shared" ca="1" si="1"/>
        <v>Park College</v>
      </c>
      <c r="I1220" s="3" t="str">
        <f t="shared" ca="1" si="2"/>
        <v>'Park College',</v>
      </c>
    </row>
    <row r="1221" spans="1:9">
      <c r="A1221" s="1" t="s">
        <v>1219</v>
      </c>
      <c r="B1221" s="3" t="str">
        <f ca="1">IFERROR(__xludf.DUMMYFUNCTION("SPLIT(A1221,"","")"),"US")</f>
        <v>US</v>
      </c>
      <c r="C1221" s="3" t="str">
        <f ca="1">IFERROR(__xludf.DUMMYFUNCTION("""COMPUTED_VALUE"""),"Parsons School of Design")</f>
        <v>Parsons School of Design</v>
      </c>
      <c r="D1221" s="4" t="str">
        <f ca="1">IFERROR(__xludf.DUMMYFUNCTION("""COMPUTED_VALUE"""),"http://www.parsons.edu/")</f>
        <v>http://www.parsons.edu/</v>
      </c>
      <c r="G1221" s="2" t="str">
        <f t="shared" ca="1" si="0"/>
        <v>Parsons School of Design</v>
      </c>
      <c r="H1221" s="5" t="str">
        <f t="shared" ca="1" si="1"/>
        <v>Parsons School of Design</v>
      </c>
      <c r="I1221" s="3" t="str">
        <f t="shared" ca="1" si="2"/>
        <v>'Parsons School of Design',</v>
      </c>
    </row>
    <row r="1222" spans="1:9">
      <c r="A1222" s="1" t="s">
        <v>1220</v>
      </c>
      <c r="B1222" s="3" t="str">
        <f ca="1">IFERROR(__xludf.DUMMYFUNCTION("SPLIT(A1222,"","")"),"US")</f>
        <v>US</v>
      </c>
      <c r="C1222" s="3" t="str">
        <f ca="1">IFERROR(__xludf.DUMMYFUNCTION("""COMPUTED_VALUE"""),"Paul Quinn College")</f>
        <v>Paul Quinn College</v>
      </c>
      <c r="D1222" s="4" t="str">
        <f ca="1">IFERROR(__xludf.DUMMYFUNCTION("""COMPUTED_VALUE"""),"http://www.pqc.edu/")</f>
        <v>http://www.pqc.edu/</v>
      </c>
      <c r="G1222" s="2" t="str">
        <f t="shared" ca="1" si="0"/>
        <v>Paul Quinn College</v>
      </c>
      <c r="H1222" s="5" t="str">
        <f t="shared" ca="1" si="1"/>
        <v>Paul Quinn College</v>
      </c>
      <c r="I1222" s="3" t="str">
        <f t="shared" ca="1" si="2"/>
        <v>'Paul Quinn College',</v>
      </c>
    </row>
    <row r="1223" spans="1:9">
      <c r="A1223" s="1" t="s">
        <v>1221</v>
      </c>
      <c r="B1223" s="3" t="str">
        <f ca="1">IFERROR(__xludf.DUMMYFUNCTION("SPLIT(A1223,"","")"),"US")</f>
        <v>US</v>
      </c>
      <c r="C1223" s="3" t="str">
        <f ca="1">IFERROR(__xludf.DUMMYFUNCTION("""COMPUTED_VALUE"""),"Peace College")</f>
        <v>Peace College</v>
      </c>
      <c r="D1223" s="4" t="str">
        <f ca="1">IFERROR(__xludf.DUMMYFUNCTION("""COMPUTED_VALUE"""),"http://www.peace.edu/")</f>
        <v>http://www.peace.edu/</v>
      </c>
      <c r="G1223" s="2" t="str">
        <f t="shared" ca="1" si="0"/>
        <v>Peace College</v>
      </c>
      <c r="H1223" s="5" t="str">
        <f t="shared" ca="1" si="1"/>
        <v>Peace College</v>
      </c>
      <c r="I1223" s="3" t="str">
        <f t="shared" ca="1" si="2"/>
        <v>'Peace College',</v>
      </c>
    </row>
    <row r="1224" spans="1:9">
      <c r="A1224" s="1" t="s">
        <v>1222</v>
      </c>
      <c r="B1224" s="3" t="str">
        <f ca="1">IFERROR(__xludf.DUMMYFUNCTION("SPLIT(A1224,"","")"),"US")</f>
        <v>US</v>
      </c>
      <c r="C1224" s="3" t="str">
        <f ca="1">IFERROR(__xludf.DUMMYFUNCTION("""COMPUTED_VALUE"""),"Pebble Hills University")</f>
        <v>Pebble Hills University</v>
      </c>
      <c r="D1224" s="4" t="str">
        <f ca="1">IFERROR(__xludf.DUMMYFUNCTION("""COMPUTED_VALUE"""),"http://www.pebblehills.edu/")</f>
        <v>http://www.pebblehills.edu/</v>
      </c>
      <c r="G1224" s="2" t="str">
        <f t="shared" ca="1" si="0"/>
        <v>Pebble Hills University</v>
      </c>
      <c r="H1224" s="5" t="str">
        <f t="shared" ca="1" si="1"/>
        <v>Pebble Hills University</v>
      </c>
      <c r="I1224" s="3" t="str">
        <f t="shared" ca="1" si="2"/>
        <v>'Pebble Hills University',</v>
      </c>
    </row>
    <row r="1225" spans="1:9">
      <c r="A1225" s="1" t="s">
        <v>1223</v>
      </c>
      <c r="B1225" s="3" t="str">
        <f ca="1">IFERROR(__xludf.DUMMYFUNCTION("SPLIT(A1225,"","")"),"US")</f>
        <v>US</v>
      </c>
      <c r="C1225" s="3" t="str">
        <f ca="1">IFERROR(__xludf.DUMMYFUNCTION("""COMPUTED_VALUE"""),"Pennsylvania Academy of the Fine Arts")</f>
        <v>Pennsylvania Academy of the Fine Arts</v>
      </c>
      <c r="D1225" s="4" t="str">
        <f ca="1">IFERROR(__xludf.DUMMYFUNCTION("""COMPUTED_VALUE"""),"http://www.pafa.org/")</f>
        <v>http://www.pafa.org/</v>
      </c>
      <c r="G1225" s="2" t="str">
        <f t="shared" ca="1" si="0"/>
        <v>Pennsylvania Academy of the Fine Arts</v>
      </c>
      <c r="H1225" s="5" t="str">
        <f t="shared" ca="1" si="1"/>
        <v>Pennsylvania Academy of the Fine Arts</v>
      </c>
      <c r="I1225" s="3" t="str">
        <f t="shared" ca="1" si="2"/>
        <v>'Pennsylvania Academy of the Fine Arts',</v>
      </c>
    </row>
    <row r="1226" spans="1:9">
      <c r="A1226" s="1" t="s">
        <v>1224</v>
      </c>
      <c r="B1226" s="3" t="str">
        <f ca="1">IFERROR(__xludf.DUMMYFUNCTION("SPLIT(A1226,"","")"),"US")</f>
        <v>US</v>
      </c>
      <c r="C1226" s="3" t="str">
        <f ca="1">IFERROR(__xludf.DUMMYFUNCTION("""COMPUTED_VALUE"""),"Pennsylvania College of Optometry")</f>
        <v>Pennsylvania College of Optometry</v>
      </c>
      <c r="D1226" s="4" t="str">
        <f ca="1">IFERROR(__xludf.DUMMYFUNCTION("""COMPUTED_VALUE"""),"http://www.pco.edu/")</f>
        <v>http://www.pco.edu/</v>
      </c>
      <c r="G1226" s="2" t="str">
        <f t="shared" ca="1" si="0"/>
        <v>Pennsylvania College of Optometry</v>
      </c>
      <c r="H1226" s="5" t="str">
        <f t="shared" ca="1" si="1"/>
        <v>Pennsylvania College of Optometry</v>
      </c>
      <c r="I1226" s="3" t="str">
        <f t="shared" ca="1" si="2"/>
        <v>'Pennsylvania College of Optometry',</v>
      </c>
    </row>
    <row r="1227" spans="1:9">
      <c r="A1227" s="1" t="s">
        <v>1225</v>
      </c>
      <c r="B1227" s="3" t="str">
        <f ca="1">IFERROR(__xludf.DUMMYFUNCTION("SPLIT(A1227,"","")"),"US")</f>
        <v>US</v>
      </c>
      <c r="C1227" s="3" t="str">
        <f ca="1">IFERROR(__xludf.DUMMYFUNCTION("""COMPUTED_VALUE"""),"Pennsylvania Institute of Technology")</f>
        <v>Pennsylvania Institute of Technology</v>
      </c>
      <c r="D1227" s="4" t="str">
        <f ca="1">IFERROR(__xludf.DUMMYFUNCTION("""COMPUTED_VALUE"""),"http://www.pit.edu/")</f>
        <v>http://www.pit.edu/</v>
      </c>
      <c r="G1227" s="2" t="str">
        <f t="shared" ca="1" si="0"/>
        <v>Pennsylvania Institute of Technology</v>
      </c>
      <c r="H1227" s="5" t="str">
        <f t="shared" ca="1" si="1"/>
        <v>Pennsylvania Institute of Technology</v>
      </c>
      <c r="I1227" s="3" t="str">
        <f t="shared" ca="1" si="2"/>
        <v>'Pennsylvania Institute of Technology',</v>
      </c>
    </row>
    <row r="1228" spans="1:9">
      <c r="A1228" s="1" t="s">
        <v>1226</v>
      </c>
      <c r="B1228" s="3" t="str">
        <f ca="1">IFERROR(__xludf.DUMMYFUNCTION("SPLIT(A1228,"","")"),"US")</f>
        <v>US</v>
      </c>
      <c r="C1228" s="3" t="str">
        <f ca="1">IFERROR(__xludf.DUMMYFUNCTION("""COMPUTED_VALUE"""),"Pennsylvania State University")</f>
        <v>Pennsylvania State University</v>
      </c>
      <c r="D1228" s="4" t="str">
        <f ca="1">IFERROR(__xludf.DUMMYFUNCTION("""COMPUTED_VALUE"""),"http://www.psu.edu/")</f>
        <v>http://www.psu.edu/</v>
      </c>
      <c r="G1228" s="2" t="str">
        <f t="shared" ca="1" si="0"/>
        <v>Pennsylvania State University</v>
      </c>
      <c r="H1228" s="5" t="str">
        <f t="shared" ca="1" si="1"/>
        <v>Pennsylvania State University</v>
      </c>
      <c r="I1228" s="3" t="str">
        <f t="shared" ca="1" si="2"/>
        <v>'Pennsylvania State University',</v>
      </c>
    </row>
    <row r="1229" spans="1:9">
      <c r="A1229" s="1" t="s">
        <v>1227</v>
      </c>
      <c r="B1229" s="3" t="str">
        <f ca="1">IFERROR(__xludf.DUMMYFUNCTION("SPLIT(A1229,"","")"),"US")</f>
        <v>US</v>
      </c>
      <c r="C1229" s="3" t="str">
        <f ca="1">IFERROR(__xludf.DUMMYFUNCTION("""COMPUTED_VALUE"""),"Pennsylvania State University - Abington")</f>
        <v>Pennsylvania State University - Abington</v>
      </c>
      <c r="D1229" s="4" t="str">
        <f ca="1">IFERROR(__xludf.DUMMYFUNCTION("""COMPUTED_VALUE"""),"http://www.abington.psu.edu/")</f>
        <v>http://www.abington.psu.edu/</v>
      </c>
      <c r="G1229" s="2" t="str">
        <f t="shared" ca="1" si="0"/>
        <v>Pennsylvania State University - Abington</v>
      </c>
      <c r="H1229" s="5" t="str">
        <f t="shared" ca="1" si="1"/>
        <v>Pennsylvania State University - Abington</v>
      </c>
      <c r="I1229" s="3" t="str">
        <f t="shared" ca="1" si="2"/>
        <v>'Pennsylvania State University - Abington',</v>
      </c>
    </row>
    <row r="1230" spans="1:9">
      <c r="A1230" s="1" t="s">
        <v>1228</v>
      </c>
      <c r="B1230" s="3" t="str">
        <f ca="1">IFERROR(__xludf.DUMMYFUNCTION("SPLIT(A1230,"","")"),"US")</f>
        <v>US</v>
      </c>
      <c r="C1230" s="3" t="str">
        <f ca="1">IFERROR(__xludf.DUMMYFUNCTION("""COMPUTED_VALUE"""),"Pennsylvania State University - Altoona")</f>
        <v>Pennsylvania State University - Altoona</v>
      </c>
      <c r="D1230" s="4" t="str">
        <f ca="1">IFERROR(__xludf.DUMMYFUNCTION("""COMPUTED_VALUE"""),"http://www.aa.psu.edu/")</f>
        <v>http://www.aa.psu.edu/</v>
      </c>
      <c r="G1230" s="2" t="str">
        <f t="shared" ca="1" si="0"/>
        <v>Pennsylvania State University - Altoona</v>
      </c>
      <c r="H1230" s="5" t="str">
        <f t="shared" ca="1" si="1"/>
        <v>Pennsylvania State University - Altoona</v>
      </c>
      <c r="I1230" s="3" t="str">
        <f t="shared" ca="1" si="2"/>
        <v>'Pennsylvania State University - Altoona',</v>
      </c>
    </row>
    <row r="1231" spans="1:9">
      <c r="A1231" s="1" t="s">
        <v>1229</v>
      </c>
      <c r="B1231" s="3" t="str">
        <f ca="1">IFERROR(__xludf.DUMMYFUNCTION("SPLIT(A1231,"","")"),"US")</f>
        <v>US</v>
      </c>
      <c r="C1231" s="3" t="str">
        <f ca="1">IFERROR(__xludf.DUMMYFUNCTION("""COMPUTED_VALUE"""),"Pennsylvania State University at Erie - Behrend College")</f>
        <v>Pennsylvania State University at Erie - Behrend College</v>
      </c>
      <c r="D1231" s="4" t="str">
        <f ca="1">IFERROR(__xludf.DUMMYFUNCTION("""COMPUTED_VALUE"""),"http://www.pserie.psu.edu/")</f>
        <v>http://www.pserie.psu.edu/</v>
      </c>
      <c r="G1231" s="2" t="str">
        <f t="shared" ca="1" si="0"/>
        <v>Pennsylvania State University at Erie - Behrend College</v>
      </c>
      <c r="H1231" s="5" t="str">
        <f t="shared" ca="1" si="1"/>
        <v>Pennsylvania State University at Erie - Behrend College</v>
      </c>
      <c r="I1231" s="3" t="str">
        <f t="shared" ca="1" si="2"/>
        <v>'Pennsylvania State University at Erie - Behrend College',</v>
      </c>
    </row>
    <row r="1232" spans="1:9">
      <c r="A1232" s="1" t="s">
        <v>1230</v>
      </c>
      <c r="B1232" s="3" t="str">
        <f ca="1">IFERROR(__xludf.DUMMYFUNCTION("SPLIT(A1232,"","")"),"US")</f>
        <v>US</v>
      </c>
      <c r="C1232" s="3" t="str">
        <f ca="1">IFERROR(__xludf.DUMMYFUNCTION("""COMPUTED_VALUE"""),"Pennsylvania State University at Harrisburg - The Capital College")</f>
        <v>Pennsylvania State University at Harrisburg - The Capital College</v>
      </c>
      <c r="D1232" s="4" t="str">
        <f ca="1">IFERROR(__xludf.DUMMYFUNCTION("""COMPUTED_VALUE"""),"http://www.hbg.psu.edu/")</f>
        <v>http://www.hbg.psu.edu/</v>
      </c>
      <c r="G1232" s="2" t="str">
        <f t="shared" ca="1" si="0"/>
        <v>Pennsylvania State University at Harrisburg - The Capital College</v>
      </c>
      <c r="H1232" s="5" t="str">
        <f t="shared" ca="1" si="1"/>
        <v>Pennsylvania State University at Harrisburg - The Capital College</v>
      </c>
      <c r="I1232" s="3" t="str">
        <f t="shared" ca="1" si="2"/>
        <v>'Pennsylvania State University at Harrisburg - The Capital College',</v>
      </c>
    </row>
    <row r="1233" spans="1:9">
      <c r="A1233" s="1" t="s">
        <v>1231</v>
      </c>
      <c r="B1233" s="3" t="str">
        <f ca="1">IFERROR(__xludf.DUMMYFUNCTION("SPLIT(A1233,"","")"),"US")</f>
        <v>US</v>
      </c>
      <c r="C1233" s="3" t="str">
        <f ca="1">IFERROR(__xludf.DUMMYFUNCTION("""COMPUTED_VALUE"""),"Pennsylvania State University - Berks-Lehigh Valley College")</f>
        <v>Pennsylvania State University - Berks-Lehigh Valley College</v>
      </c>
      <c r="D1233" s="4" t="str">
        <f ca="1">IFERROR(__xludf.DUMMYFUNCTION("""COMPUTED_VALUE"""),"http://www.bk.psu.edu/")</f>
        <v>http://www.bk.psu.edu/</v>
      </c>
      <c r="G1233" s="2" t="str">
        <f t="shared" ca="1" si="0"/>
        <v>Pennsylvania State University - Berks-Lehigh Valley College</v>
      </c>
      <c r="H1233" s="5" t="str">
        <f t="shared" ca="1" si="1"/>
        <v>Pennsylvania State University - Berks-Lehigh Valley College</v>
      </c>
      <c r="I1233" s="3" t="str">
        <f t="shared" ca="1" si="2"/>
        <v>'Pennsylvania State University - Berks-Lehigh Valley College',</v>
      </c>
    </row>
    <row r="1234" spans="1:9">
      <c r="A1234" s="1" t="s">
        <v>1232</v>
      </c>
      <c r="B1234" s="3" t="str">
        <f ca="1">IFERROR(__xludf.DUMMYFUNCTION("SPLIT(A1234,"","")"),"US")</f>
        <v>US</v>
      </c>
      <c r="C1234" s="3" t="str">
        <f ca="1">IFERROR(__xludf.DUMMYFUNCTION("""COMPUTED_VALUE"""),"Pennsylvania State University Delaware County")</f>
        <v>Pennsylvania State University Delaware County</v>
      </c>
      <c r="D1234" s="4" t="str">
        <f ca="1">IFERROR(__xludf.DUMMYFUNCTION("""COMPUTED_VALUE"""),"http://www.de.psu.edu/")</f>
        <v>http://www.de.psu.edu/</v>
      </c>
      <c r="G1234" s="2" t="str">
        <f t="shared" ca="1" si="0"/>
        <v>Pennsylvania State University Delaware County</v>
      </c>
      <c r="H1234" s="5" t="str">
        <f t="shared" ca="1" si="1"/>
        <v>Pennsylvania State University Delaware County</v>
      </c>
      <c r="I1234" s="3" t="str">
        <f t="shared" ca="1" si="2"/>
        <v>'Pennsylvania State University Delaware County',</v>
      </c>
    </row>
    <row r="1235" spans="1:9">
      <c r="A1235" s="1" t="s">
        <v>1233</v>
      </c>
      <c r="B1235" s="3" t="str">
        <f ca="1">IFERROR(__xludf.DUMMYFUNCTION("SPLIT(A1235,"","")"),"US")</f>
        <v>US</v>
      </c>
      <c r="C1235" s="3" t="str">
        <f ca="1">IFERROR(__xludf.DUMMYFUNCTION("""COMPUTED_VALUE"""),"Pennsylvania State University Great Valley")</f>
        <v>Pennsylvania State University Great Valley</v>
      </c>
      <c r="D1235" s="4" t="str">
        <f ca="1">IFERROR(__xludf.DUMMYFUNCTION("""COMPUTED_VALUE"""),"http://www.gv.psu.edu/")</f>
        <v>http://www.gv.psu.edu/</v>
      </c>
      <c r="G1235" s="2" t="str">
        <f t="shared" ca="1" si="0"/>
        <v>Pennsylvania State University Great Valley</v>
      </c>
      <c r="H1235" s="5" t="str">
        <f t="shared" ca="1" si="1"/>
        <v>Pennsylvania State University Great Valley</v>
      </c>
      <c r="I1235" s="3" t="str">
        <f t="shared" ca="1" si="2"/>
        <v>'Pennsylvania State University Great Valley',</v>
      </c>
    </row>
    <row r="1236" spans="1:9">
      <c r="A1236" s="1" t="s">
        <v>1234</v>
      </c>
      <c r="B1236" s="3" t="str">
        <f ca="1">IFERROR(__xludf.DUMMYFUNCTION("SPLIT(A1236,"","")"),"US")</f>
        <v>US</v>
      </c>
      <c r="C1236" s="3" t="str">
        <f ca="1">IFERROR(__xludf.DUMMYFUNCTION("""COMPUTED_VALUE"""),"Pennsylvania State University - Lehigh Valley")</f>
        <v>Pennsylvania State University - Lehigh Valley</v>
      </c>
      <c r="D1236" s="4" t="str">
        <f ca="1">IFERROR(__xludf.DUMMYFUNCTION("""COMPUTED_VALUE"""),"http://www.an.psu.edu/")</f>
        <v>http://www.an.psu.edu/</v>
      </c>
      <c r="G1236" s="2" t="str">
        <f t="shared" ca="1" si="0"/>
        <v>Pennsylvania State University - Lehigh Valley</v>
      </c>
      <c r="H1236" s="5" t="str">
        <f t="shared" ca="1" si="1"/>
        <v>Pennsylvania State University - Lehigh Valley</v>
      </c>
      <c r="I1236" s="3" t="str">
        <f t="shared" ca="1" si="2"/>
        <v>'Pennsylvania State University - Lehigh Valley',</v>
      </c>
    </row>
    <row r="1237" spans="1:9">
      <c r="A1237" s="1" t="s">
        <v>1235</v>
      </c>
      <c r="B1237" s="3" t="str">
        <f ca="1">IFERROR(__xludf.DUMMYFUNCTION("SPLIT(A1237,"","")"),"US")</f>
        <v>US</v>
      </c>
      <c r="C1237" s="3" t="str">
        <f ca="1">IFERROR(__xludf.DUMMYFUNCTION("""COMPUTED_VALUE"""),"Pennsylvania State University - Milton S.Hershey Medical Center")</f>
        <v>Pennsylvania State University - Milton S.Hershey Medical Center</v>
      </c>
      <c r="D1237" s="4" t="str">
        <f ca="1">IFERROR(__xludf.DUMMYFUNCTION("""COMPUTED_VALUE"""),"http://www.collmed.psu.edu/")</f>
        <v>http://www.collmed.psu.edu/</v>
      </c>
      <c r="G1237" s="2" t="str">
        <f t="shared" ca="1" si="0"/>
        <v>Pennsylvania State University - Milton S.Hershey Medical Center</v>
      </c>
      <c r="H1237" s="5" t="str">
        <f t="shared" ca="1" si="1"/>
        <v>Pennsylvania State University - Milton S.Hershey Medical Center</v>
      </c>
      <c r="I1237" s="3" t="str">
        <f t="shared" ca="1" si="2"/>
        <v>'Pennsylvania State University - Milton S.Hershey Medical Center',</v>
      </c>
    </row>
    <row r="1238" spans="1:9">
      <c r="A1238" s="1" t="s">
        <v>1236</v>
      </c>
      <c r="B1238" s="3" t="str">
        <f ca="1">IFERROR(__xludf.DUMMYFUNCTION("SPLIT(A1238,"","")"),"US")</f>
        <v>US</v>
      </c>
      <c r="C1238" s="3" t="str">
        <f ca="1">IFERROR(__xludf.DUMMYFUNCTION("""COMPUTED_VALUE"""),"Pennsylvania State University - Schuylkill")</f>
        <v>Pennsylvania State University - Schuylkill</v>
      </c>
      <c r="D1238" s="4" t="str">
        <f ca="1">IFERROR(__xludf.DUMMYFUNCTION("""COMPUTED_VALUE"""),"http://www.sl.psu.edu/")</f>
        <v>http://www.sl.psu.edu/</v>
      </c>
      <c r="G1238" s="2" t="str">
        <f t="shared" ca="1" si="0"/>
        <v>Pennsylvania State University - Schuylkill</v>
      </c>
      <c r="H1238" s="5" t="str">
        <f t="shared" ca="1" si="1"/>
        <v>Pennsylvania State University - Schuylkill</v>
      </c>
      <c r="I1238" s="3" t="str">
        <f t="shared" ca="1" si="2"/>
        <v>'Pennsylvania State University - Schuylkill',</v>
      </c>
    </row>
    <row r="1239" spans="1:9">
      <c r="A1239" s="1" t="s">
        <v>1237</v>
      </c>
      <c r="B1239" s="3" t="str">
        <f ca="1">IFERROR(__xludf.DUMMYFUNCTION("SPLIT(A1239,"","")"),"US")</f>
        <v>US</v>
      </c>
      <c r="C1239" s="3" t="str">
        <f ca="1">IFERROR(__xludf.DUMMYFUNCTION("""COMPUTED_VALUE"""),"Pepperdine University")</f>
        <v>Pepperdine University</v>
      </c>
      <c r="D1239" s="4" t="str">
        <f ca="1">IFERROR(__xludf.DUMMYFUNCTION("""COMPUTED_VALUE"""),"http://www.pepperdine.edu/")</f>
        <v>http://www.pepperdine.edu/</v>
      </c>
      <c r="G1239" s="2" t="str">
        <f t="shared" ca="1" si="0"/>
        <v>Pepperdine University</v>
      </c>
      <c r="H1239" s="5" t="str">
        <f t="shared" ca="1" si="1"/>
        <v>Pepperdine University</v>
      </c>
      <c r="I1239" s="3" t="str">
        <f t="shared" ca="1" si="2"/>
        <v>'Pepperdine University',</v>
      </c>
    </row>
    <row r="1240" spans="1:9">
      <c r="A1240" s="1" t="s">
        <v>1238</v>
      </c>
      <c r="B1240" s="3" t="str">
        <f ca="1">IFERROR(__xludf.DUMMYFUNCTION("SPLIT(A1240,"","")"),"US")</f>
        <v>US</v>
      </c>
      <c r="C1240" s="3" t="str">
        <f ca="1">IFERROR(__xludf.DUMMYFUNCTION("""COMPUTED_VALUE"""),"Peru State College")</f>
        <v>Peru State College</v>
      </c>
      <c r="D1240" s="4" t="str">
        <f ca="1">IFERROR(__xludf.DUMMYFUNCTION("""COMPUTED_VALUE"""),"http://www.peru.edu/")</f>
        <v>http://www.peru.edu/</v>
      </c>
      <c r="G1240" s="2" t="str">
        <f t="shared" ca="1" si="0"/>
        <v>Peru State College</v>
      </c>
      <c r="H1240" s="5" t="str">
        <f t="shared" ca="1" si="1"/>
        <v>Peru State College</v>
      </c>
      <c r="I1240" s="3" t="str">
        <f t="shared" ca="1" si="2"/>
        <v>'Peru State College',</v>
      </c>
    </row>
    <row r="1241" spans="1:9">
      <c r="A1241" s="1" t="s">
        <v>1239</v>
      </c>
      <c r="B1241" s="3" t="str">
        <f ca="1">IFERROR(__xludf.DUMMYFUNCTION("SPLIT(A1241,"","")"),"US")</f>
        <v>US</v>
      </c>
      <c r="C1241" s="3" t="str">
        <f ca="1">IFERROR(__xludf.DUMMYFUNCTION("""COMPUTED_VALUE"""),"Pfeiffer University")</f>
        <v>Pfeiffer University</v>
      </c>
      <c r="D1241" s="4" t="str">
        <f ca="1">IFERROR(__xludf.DUMMYFUNCTION("""COMPUTED_VALUE"""),"http://www.pfeiffer.edu/")</f>
        <v>http://www.pfeiffer.edu/</v>
      </c>
      <c r="G1241" s="2" t="str">
        <f t="shared" ca="1" si="0"/>
        <v>Pfeiffer University</v>
      </c>
      <c r="H1241" s="5" t="str">
        <f t="shared" ca="1" si="1"/>
        <v>Pfeiffer University</v>
      </c>
      <c r="I1241" s="3" t="str">
        <f t="shared" ca="1" si="2"/>
        <v>'Pfeiffer University',</v>
      </c>
    </row>
    <row r="1242" spans="1:9">
      <c r="A1242" s="1" t="s">
        <v>1240</v>
      </c>
      <c r="B1242" s="3" t="str">
        <f ca="1">IFERROR(__xludf.DUMMYFUNCTION("SPLIT(A1242,"","")"),"US")</f>
        <v>US</v>
      </c>
      <c r="C1242" s="3" t="str">
        <f ca="1">IFERROR(__xludf.DUMMYFUNCTION("""COMPUTED_VALUE"""),"Philadelphia College of Bible")</f>
        <v>Philadelphia College of Bible</v>
      </c>
      <c r="D1242" s="4" t="str">
        <f ca="1">IFERROR(__xludf.DUMMYFUNCTION("""COMPUTED_VALUE"""),"http://www.pcb.edu/")</f>
        <v>http://www.pcb.edu/</v>
      </c>
      <c r="G1242" s="2" t="str">
        <f t="shared" ca="1" si="0"/>
        <v>Philadelphia College of Bible</v>
      </c>
      <c r="H1242" s="5" t="str">
        <f t="shared" ca="1" si="1"/>
        <v>Philadelphia College of Bible</v>
      </c>
      <c r="I1242" s="3" t="str">
        <f t="shared" ca="1" si="2"/>
        <v>'Philadelphia College of Bible',</v>
      </c>
    </row>
    <row r="1243" spans="1:9">
      <c r="A1243" s="1" t="s">
        <v>1241</v>
      </c>
      <c r="B1243" s="3" t="str">
        <f ca="1">IFERROR(__xludf.DUMMYFUNCTION("SPLIT(A1243,"","")"),"US")</f>
        <v>US</v>
      </c>
      <c r="C1243" s="3" t="str">
        <f ca="1">IFERROR(__xludf.DUMMYFUNCTION("""COMPUTED_VALUE"""),"Philadelphia College of Osteopathic Medicine")</f>
        <v>Philadelphia College of Osteopathic Medicine</v>
      </c>
      <c r="D1243" s="4" t="str">
        <f ca="1">IFERROR(__xludf.DUMMYFUNCTION("""COMPUTED_VALUE"""),"http://www.pcom.edu/")</f>
        <v>http://www.pcom.edu/</v>
      </c>
      <c r="G1243" s="2" t="str">
        <f t="shared" ca="1" si="0"/>
        <v>Philadelphia College of Osteopathic Medicine</v>
      </c>
      <c r="H1243" s="5" t="str">
        <f t="shared" ca="1" si="1"/>
        <v>Philadelphia College of Osteopathic Medicine</v>
      </c>
      <c r="I1243" s="3" t="str">
        <f t="shared" ca="1" si="2"/>
        <v>'Philadelphia College of Osteopathic Medicine',</v>
      </c>
    </row>
    <row r="1244" spans="1:9">
      <c r="A1244" s="1" t="s">
        <v>1242</v>
      </c>
      <c r="B1244" s="3" t="str">
        <f ca="1">IFERROR(__xludf.DUMMYFUNCTION("SPLIT(A1244,"","")"),"US")</f>
        <v>US</v>
      </c>
      <c r="C1244" s="3" t="str">
        <f ca="1">IFERROR(__xludf.DUMMYFUNCTION("""COMPUTED_VALUE"""),"Philadelphia University")</f>
        <v>Philadelphia University</v>
      </c>
      <c r="D1244" s="4" t="str">
        <f ca="1">IFERROR(__xludf.DUMMYFUNCTION("""COMPUTED_VALUE"""),"http://www.philau.edu/")</f>
        <v>http://www.philau.edu/</v>
      </c>
      <c r="G1244" s="2" t="str">
        <f t="shared" ca="1" si="0"/>
        <v>Philadelphia University</v>
      </c>
      <c r="H1244" s="5" t="str">
        <f t="shared" ca="1" si="1"/>
        <v>Philadelphia University</v>
      </c>
      <c r="I1244" s="3" t="str">
        <f t="shared" ca="1" si="2"/>
        <v>'Philadelphia University',</v>
      </c>
    </row>
    <row r="1245" spans="1:9">
      <c r="A1245" s="1" t="s">
        <v>1243</v>
      </c>
      <c r="B1245" s="3" t="str">
        <f ca="1">IFERROR(__xludf.DUMMYFUNCTION("SPLIT(A1245,"","")"),"US")</f>
        <v>US</v>
      </c>
      <c r="C1245" s="3" t="str">
        <f ca="1">IFERROR(__xludf.DUMMYFUNCTION("""COMPUTED_VALUE"""),"Philander Smith College")</f>
        <v>Philander Smith College</v>
      </c>
      <c r="D1245" s="4" t="str">
        <f ca="1">IFERROR(__xludf.DUMMYFUNCTION("""COMPUTED_VALUE"""),"http://www.philander.edu/")</f>
        <v>http://www.philander.edu/</v>
      </c>
      <c r="G1245" s="2" t="str">
        <f t="shared" ca="1" si="0"/>
        <v>Philander Smith College</v>
      </c>
      <c r="H1245" s="5" t="str">
        <f t="shared" ca="1" si="1"/>
        <v>Philander Smith College</v>
      </c>
      <c r="I1245" s="3" t="str">
        <f t="shared" ca="1" si="2"/>
        <v>'Philander Smith College',</v>
      </c>
    </row>
    <row r="1246" spans="1:9">
      <c r="A1246" s="1" t="s">
        <v>1244</v>
      </c>
      <c r="B1246" s="3" t="str">
        <f ca="1">IFERROR(__xludf.DUMMYFUNCTION("SPLIT(A1246,"","")"),"US")</f>
        <v>US</v>
      </c>
      <c r="C1246" s="3" t="str">
        <f ca="1">IFERROR(__xludf.DUMMYFUNCTION("""COMPUTED_VALUE"""),"Phillips Graduate Institute")</f>
        <v>Phillips Graduate Institute</v>
      </c>
      <c r="D1246" s="4" t="str">
        <f ca="1">IFERROR(__xludf.DUMMYFUNCTION("""COMPUTED_VALUE"""),"http://www.pgi.edu/")</f>
        <v>http://www.pgi.edu/</v>
      </c>
      <c r="G1246" s="2" t="str">
        <f t="shared" ca="1" si="0"/>
        <v>Phillips Graduate Institute</v>
      </c>
      <c r="H1246" s="5" t="str">
        <f t="shared" ca="1" si="1"/>
        <v>Phillips Graduate Institute</v>
      </c>
      <c r="I1246" s="3" t="str">
        <f t="shared" ca="1" si="2"/>
        <v>'Phillips Graduate Institute',</v>
      </c>
    </row>
    <row r="1247" spans="1:9">
      <c r="A1247" s="1" t="s">
        <v>1245</v>
      </c>
      <c r="B1247" s="3" t="str">
        <f ca="1">IFERROR(__xludf.DUMMYFUNCTION("SPLIT(A1247,"","")"),"US")</f>
        <v>US</v>
      </c>
      <c r="C1247" s="3" t="str">
        <f ca="1">IFERROR(__xludf.DUMMYFUNCTION("""COMPUTED_VALUE"""),"Phillips University")</f>
        <v>Phillips University</v>
      </c>
      <c r="D1247" s="4" t="str">
        <f ca="1">IFERROR(__xludf.DUMMYFUNCTION("""COMPUTED_VALUE"""),"http://www.phillips.edu/")</f>
        <v>http://www.phillips.edu/</v>
      </c>
      <c r="G1247" s="2" t="str">
        <f t="shared" ca="1" si="0"/>
        <v>Phillips University</v>
      </c>
      <c r="H1247" s="5" t="str">
        <f t="shared" ca="1" si="1"/>
        <v>Phillips University</v>
      </c>
      <c r="I1247" s="3" t="str">
        <f t="shared" ca="1" si="2"/>
        <v>'Phillips University',</v>
      </c>
    </row>
    <row r="1248" spans="1:9">
      <c r="A1248" s="1" t="s">
        <v>1246</v>
      </c>
      <c r="B1248" s="3" t="str">
        <f ca="1">IFERROR(__xludf.DUMMYFUNCTION("SPLIT(A1248,"","")"),"US")</f>
        <v>US</v>
      </c>
      <c r="C1248" s="3" t="str">
        <f ca="1">IFERROR(__xludf.DUMMYFUNCTION("""COMPUTED_VALUE"""),"Piedmont Baptist College")</f>
        <v>Piedmont Baptist College</v>
      </c>
      <c r="D1248" s="4" t="str">
        <f ca="1">IFERROR(__xludf.DUMMYFUNCTION("""COMPUTED_VALUE"""),"http://www.pbc.edu/")</f>
        <v>http://www.pbc.edu/</v>
      </c>
      <c r="G1248" s="2" t="str">
        <f t="shared" ca="1" si="0"/>
        <v>Piedmont Baptist College</v>
      </c>
      <c r="H1248" s="5" t="str">
        <f t="shared" ca="1" si="1"/>
        <v>Piedmont Baptist College</v>
      </c>
      <c r="I1248" s="3" t="str">
        <f t="shared" ca="1" si="2"/>
        <v>'Piedmont Baptist College',</v>
      </c>
    </row>
    <row r="1249" spans="1:9">
      <c r="A1249" s="1" t="s">
        <v>1247</v>
      </c>
      <c r="B1249" s="3" t="str">
        <f ca="1">IFERROR(__xludf.DUMMYFUNCTION("SPLIT(A1249,"","")"),"US")</f>
        <v>US</v>
      </c>
      <c r="C1249" s="3" t="str">
        <f ca="1">IFERROR(__xludf.DUMMYFUNCTION("""COMPUTED_VALUE"""),"Piedmont College")</f>
        <v>Piedmont College</v>
      </c>
      <c r="D1249" s="4" t="str">
        <f ca="1">IFERROR(__xludf.DUMMYFUNCTION("""COMPUTED_VALUE"""),"http://www.piedmont.edu/")</f>
        <v>http://www.piedmont.edu/</v>
      </c>
      <c r="G1249" s="2" t="str">
        <f t="shared" ca="1" si="0"/>
        <v>Piedmont College</v>
      </c>
      <c r="H1249" s="5" t="str">
        <f t="shared" ca="1" si="1"/>
        <v>Piedmont College</v>
      </c>
      <c r="I1249" s="3" t="str">
        <f t="shared" ca="1" si="2"/>
        <v>'Piedmont College',</v>
      </c>
    </row>
    <row r="1250" spans="1:9">
      <c r="A1250" s="1" t="s">
        <v>1248</v>
      </c>
      <c r="B1250" s="3" t="str">
        <f ca="1">IFERROR(__xludf.DUMMYFUNCTION("SPLIT(A1250,"","")"),"US")</f>
        <v>US</v>
      </c>
      <c r="C1250" s="3" t="str">
        <f ca="1">IFERROR(__xludf.DUMMYFUNCTION("""COMPUTED_VALUE"""),"Pikeville College")</f>
        <v>Pikeville College</v>
      </c>
      <c r="D1250" s="4" t="str">
        <f ca="1">IFERROR(__xludf.DUMMYFUNCTION("""COMPUTED_VALUE"""),"http://www.pc.edu/")</f>
        <v>http://www.pc.edu/</v>
      </c>
      <c r="G1250" s="2" t="str">
        <f t="shared" ca="1" si="0"/>
        <v>Pikeville College</v>
      </c>
      <c r="H1250" s="5" t="str">
        <f t="shared" ca="1" si="1"/>
        <v>Pikeville College</v>
      </c>
      <c r="I1250" s="3" t="str">
        <f t="shared" ca="1" si="2"/>
        <v>'Pikeville College',</v>
      </c>
    </row>
    <row r="1251" spans="1:9">
      <c r="A1251" s="1" t="s">
        <v>1249</v>
      </c>
      <c r="B1251" s="3" t="str">
        <f ca="1">IFERROR(__xludf.DUMMYFUNCTION("SPLIT(A1251,"","")"),"US")</f>
        <v>US</v>
      </c>
      <c r="C1251" s="3" t="str">
        <f ca="1">IFERROR(__xludf.DUMMYFUNCTION("""COMPUTED_VALUE"""),"Pillsbury Baptist Bible College")</f>
        <v>Pillsbury Baptist Bible College</v>
      </c>
      <c r="D1251" s="4" t="str">
        <f ca="1">IFERROR(__xludf.DUMMYFUNCTION("""COMPUTED_VALUE"""),"http://www.pillsbury.edu/")</f>
        <v>http://www.pillsbury.edu/</v>
      </c>
      <c r="G1251" s="2" t="str">
        <f t="shared" ca="1" si="0"/>
        <v>Pillsbury Baptist Bible College</v>
      </c>
      <c r="H1251" s="5" t="str">
        <f t="shared" ca="1" si="1"/>
        <v>Pillsbury Baptist Bible College</v>
      </c>
      <c r="I1251" s="3" t="str">
        <f t="shared" ca="1" si="2"/>
        <v>'Pillsbury Baptist Bible College',</v>
      </c>
    </row>
    <row r="1252" spans="1:9">
      <c r="A1252" s="1" t="s">
        <v>1250</v>
      </c>
      <c r="B1252" s="3" t="str">
        <f ca="1">IFERROR(__xludf.DUMMYFUNCTION("SPLIT(A1252,"","")"),"US")</f>
        <v>US</v>
      </c>
      <c r="C1252" s="3" t="str">
        <f ca="1">IFERROR(__xludf.DUMMYFUNCTION("""COMPUTED_VALUE"""),"Pittsburg State University")</f>
        <v>Pittsburg State University</v>
      </c>
      <c r="D1252" s="4" t="str">
        <f ca="1">IFERROR(__xludf.DUMMYFUNCTION("""COMPUTED_VALUE"""),"http://www.pittstate.edu/")</f>
        <v>http://www.pittstate.edu/</v>
      </c>
      <c r="G1252" s="2" t="str">
        <f t="shared" ca="1" si="0"/>
        <v>Pittsburg State University</v>
      </c>
      <c r="H1252" s="5" t="str">
        <f t="shared" ca="1" si="1"/>
        <v>Pittsburg State University</v>
      </c>
      <c r="I1252" s="3" t="str">
        <f t="shared" ca="1" si="2"/>
        <v>'Pittsburg State University',</v>
      </c>
    </row>
    <row r="1253" spans="1:9">
      <c r="A1253" s="1" t="s">
        <v>1251</v>
      </c>
      <c r="B1253" s="3" t="str">
        <f ca="1">IFERROR(__xludf.DUMMYFUNCTION("SPLIT(A1253,"","")"),"US")</f>
        <v>US</v>
      </c>
      <c r="C1253" s="3" t="str">
        <f ca="1">IFERROR(__xludf.DUMMYFUNCTION("""COMPUTED_VALUE"""),"Pitzer College")</f>
        <v>Pitzer College</v>
      </c>
      <c r="D1253" s="4" t="str">
        <f ca="1">IFERROR(__xludf.DUMMYFUNCTION("""COMPUTED_VALUE"""),"http://www.pitzer.edu/")</f>
        <v>http://www.pitzer.edu/</v>
      </c>
      <c r="G1253" s="2" t="str">
        <f t="shared" ca="1" si="0"/>
        <v>Pitzer College</v>
      </c>
      <c r="H1253" s="5" t="str">
        <f t="shared" ca="1" si="1"/>
        <v>Pitzer College</v>
      </c>
      <c r="I1253" s="3" t="str">
        <f t="shared" ca="1" si="2"/>
        <v>'Pitzer College',</v>
      </c>
    </row>
    <row r="1254" spans="1:9">
      <c r="A1254" s="1" t="s">
        <v>1252</v>
      </c>
      <c r="B1254" s="3" t="str">
        <f ca="1">IFERROR(__xludf.DUMMYFUNCTION("SPLIT(A1254,"","")"),"US")</f>
        <v>US</v>
      </c>
      <c r="C1254" s="3" t="str">
        <f ca="1">IFERROR(__xludf.DUMMYFUNCTION("""COMPUTED_VALUE"""),"Plymouth State College")</f>
        <v>Plymouth State College</v>
      </c>
      <c r="D1254" s="4" t="str">
        <f ca="1">IFERROR(__xludf.DUMMYFUNCTION("""COMPUTED_VALUE"""),"http://www.plymouth.edu/")</f>
        <v>http://www.plymouth.edu/</v>
      </c>
      <c r="G1254" s="2" t="str">
        <f t="shared" ca="1" si="0"/>
        <v>Plymouth State College</v>
      </c>
      <c r="H1254" s="5" t="str">
        <f t="shared" ca="1" si="1"/>
        <v>Plymouth State College</v>
      </c>
      <c r="I1254" s="3" t="str">
        <f t="shared" ca="1" si="2"/>
        <v>'Plymouth State College',</v>
      </c>
    </row>
    <row r="1255" spans="1:9">
      <c r="A1255" s="1" t="s">
        <v>1253</v>
      </c>
      <c r="B1255" s="3" t="str">
        <f ca="1">IFERROR(__xludf.DUMMYFUNCTION("SPLIT(A1255,"","")"),"US")</f>
        <v>US</v>
      </c>
      <c r="C1255" s="3" t="str">
        <f ca="1">IFERROR(__xludf.DUMMYFUNCTION("""COMPUTED_VALUE"""),"Point Loma Nazarene College")</f>
        <v>Point Loma Nazarene College</v>
      </c>
      <c r="D1255" s="4" t="str">
        <f ca="1">IFERROR(__xludf.DUMMYFUNCTION("""COMPUTED_VALUE"""),"http://www.ptloma.edu/")</f>
        <v>http://www.ptloma.edu/</v>
      </c>
      <c r="G1255" s="2" t="str">
        <f t="shared" ca="1" si="0"/>
        <v>Point Loma Nazarene College</v>
      </c>
      <c r="H1255" s="5" t="str">
        <f t="shared" ca="1" si="1"/>
        <v>Point Loma Nazarene College</v>
      </c>
      <c r="I1255" s="3" t="str">
        <f t="shared" ca="1" si="2"/>
        <v>'Point Loma Nazarene College',</v>
      </c>
    </row>
    <row r="1256" spans="1:9">
      <c r="A1256" s="1" t="s">
        <v>1254</v>
      </c>
      <c r="B1256" s="3" t="str">
        <f ca="1">IFERROR(__xludf.DUMMYFUNCTION("SPLIT(A1256,"","")"),"US")</f>
        <v>US</v>
      </c>
      <c r="C1256" s="3" t="str">
        <f ca="1">IFERROR(__xludf.DUMMYFUNCTION("""COMPUTED_VALUE"""),"Point Park College")</f>
        <v>Point Park College</v>
      </c>
      <c r="D1256" s="4" t="str">
        <f ca="1">IFERROR(__xludf.DUMMYFUNCTION("""COMPUTED_VALUE"""),"http://www.ppc.edu/")</f>
        <v>http://www.ppc.edu/</v>
      </c>
      <c r="G1256" s="2" t="str">
        <f t="shared" ca="1" si="0"/>
        <v>Point Park College</v>
      </c>
      <c r="H1256" s="5" t="str">
        <f t="shared" ca="1" si="1"/>
        <v>Point Park College</v>
      </c>
      <c r="I1256" s="3" t="str">
        <f t="shared" ca="1" si="2"/>
        <v>'Point Park College',</v>
      </c>
    </row>
    <row r="1257" spans="1:9">
      <c r="A1257" s="1" t="s">
        <v>1255</v>
      </c>
      <c r="B1257" s="3" t="str">
        <f ca="1">IFERROR(__xludf.DUMMYFUNCTION("SPLIT(A1257,"","")"),"US")</f>
        <v>US</v>
      </c>
      <c r="C1257" s="3" t="str">
        <f ca="1">IFERROR(__xludf.DUMMYFUNCTION("""COMPUTED_VALUE"""),"Polytechnic University")</f>
        <v>Polytechnic University</v>
      </c>
      <c r="D1257" s="4" t="str">
        <f ca="1">IFERROR(__xludf.DUMMYFUNCTION("""COMPUTED_VALUE"""),"http://www.poly.edu/")</f>
        <v>http://www.poly.edu/</v>
      </c>
      <c r="G1257" s="2" t="str">
        <f t="shared" ca="1" si="0"/>
        <v>Polytechnic University</v>
      </c>
      <c r="H1257" s="5" t="str">
        <f t="shared" ca="1" si="1"/>
        <v>Polytechnic University</v>
      </c>
      <c r="I1257" s="3" t="str">
        <f t="shared" ca="1" si="2"/>
        <v>'Polytechnic University',</v>
      </c>
    </row>
    <row r="1258" spans="1:9">
      <c r="A1258" s="1" t="s">
        <v>1256</v>
      </c>
      <c r="B1258" s="3" t="str">
        <f ca="1">IFERROR(__xludf.DUMMYFUNCTION("SPLIT(A1258,"","")"),"US")</f>
        <v>US</v>
      </c>
      <c r="C1258" s="3" t="str">
        <f ca="1">IFERROR(__xludf.DUMMYFUNCTION("""COMPUTED_VALUE"""),"""Polytechnic University")</f>
        <v>"Polytechnic University</v>
      </c>
      <c r="D1258" s="3" t="str">
        <f ca="1">IFERROR(__xludf.DUMMYFUNCTION("""COMPUTED_VALUE""")," Long Island Campus""")</f>
        <v xml:space="preserve"> Long Island Campus"</v>
      </c>
      <c r="E1258" s="4" t="str">
        <f ca="1">IFERROR(__xludf.DUMMYFUNCTION("""COMPUTED_VALUE"""),"http://www.poly.edu/li/")</f>
        <v>http://www.poly.edu/li/</v>
      </c>
      <c r="G1258" s="2" t="str">
        <f t="shared" ca="1" si="0"/>
        <v>"Polytechnic University</v>
      </c>
      <c r="H1258" s="3" t="str">
        <f t="shared" ca="1" si="1"/>
        <v>Polytechnic University</v>
      </c>
      <c r="I1258" s="3" t="str">
        <f t="shared" ca="1" si="2"/>
        <v>'Polytechnic University',</v>
      </c>
    </row>
    <row r="1259" spans="1:9">
      <c r="A1259" s="1" t="s">
        <v>1257</v>
      </c>
      <c r="B1259" s="3" t="str">
        <f ca="1">IFERROR(__xludf.DUMMYFUNCTION("SPLIT(A1259,"","")"),"US")</f>
        <v>US</v>
      </c>
      <c r="C1259" s="3" t="str">
        <f ca="1">IFERROR(__xludf.DUMMYFUNCTION("""COMPUTED_VALUE"""),"""Polytechnic University")</f>
        <v>"Polytechnic University</v>
      </c>
      <c r="D1259" s="3" t="str">
        <f ca="1">IFERROR(__xludf.DUMMYFUNCTION("""COMPUTED_VALUE""")," Westchester Graduate Center""")</f>
        <v xml:space="preserve"> Westchester Graduate Center"</v>
      </c>
      <c r="E1259" s="4" t="str">
        <f ca="1">IFERROR(__xludf.DUMMYFUNCTION("""COMPUTED_VALUE"""),"http://www.poly.edu/west/")</f>
        <v>http://www.poly.edu/west/</v>
      </c>
      <c r="G1259" s="2" t="str">
        <f t="shared" ca="1" si="0"/>
        <v>"Polytechnic University</v>
      </c>
      <c r="H1259" s="3" t="str">
        <f t="shared" ca="1" si="1"/>
        <v>Polytechnic University</v>
      </c>
      <c r="I1259" s="3" t="str">
        <f t="shared" ca="1" si="2"/>
        <v>'Polytechnic University',</v>
      </c>
    </row>
    <row r="1260" spans="1:9">
      <c r="A1260" s="1" t="s">
        <v>1258</v>
      </c>
      <c r="B1260" s="3" t="str">
        <f ca="1">IFERROR(__xludf.DUMMYFUNCTION("SPLIT(A1260,"","")"),"US")</f>
        <v>US</v>
      </c>
      <c r="C1260" s="3" t="str">
        <f ca="1">IFERROR(__xludf.DUMMYFUNCTION("""COMPUTED_VALUE"""),"Pomona College")</f>
        <v>Pomona College</v>
      </c>
      <c r="D1260" s="4" t="str">
        <f ca="1">IFERROR(__xludf.DUMMYFUNCTION("""COMPUTED_VALUE"""),"http://www.pomona.edu/")</f>
        <v>http://www.pomona.edu/</v>
      </c>
      <c r="G1260" s="2" t="str">
        <f t="shared" ca="1" si="0"/>
        <v>Pomona College</v>
      </c>
      <c r="H1260" s="3" t="str">
        <f t="shared" ca="1" si="1"/>
        <v>Pomona College</v>
      </c>
      <c r="I1260" s="3" t="str">
        <f t="shared" ca="1" si="2"/>
        <v>'Pomona College',</v>
      </c>
    </row>
    <row r="1261" spans="1:9">
      <c r="A1261" s="1" t="s">
        <v>1259</v>
      </c>
      <c r="B1261" s="3" t="str">
        <f ca="1">IFERROR(__xludf.DUMMYFUNCTION("SPLIT(A1261,"","")"),"US")</f>
        <v>US</v>
      </c>
      <c r="C1261" s="3" t="str">
        <f ca="1">IFERROR(__xludf.DUMMYFUNCTION("""COMPUTED_VALUE"""),"Portland Community College")</f>
        <v>Portland Community College</v>
      </c>
      <c r="D1261" s="4" t="str">
        <f ca="1">IFERROR(__xludf.DUMMYFUNCTION("""COMPUTED_VALUE"""),"http://www.pcc.edu/")</f>
        <v>http://www.pcc.edu/</v>
      </c>
      <c r="G1261" s="2" t="str">
        <f t="shared" ca="1" si="0"/>
        <v>Portland Community College</v>
      </c>
      <c r="H1261" s="3" t="str">
        <f t="shared" ca="1" si="1"/>
        <v>Portland Community College</v>
      </c>
      <c r="I1261" s="3" t="str">
        <f t="shared" ca="1" si="2"/>
        <v>'Portland Community College',</v>
      </c>
    </row>
    <row r="1262" spans="1:9">
      <c r="A1262" s="1" t="s">
        <v>1260</v>
      </c>
      <c r="B1262" s="3" t="str">
        <f ca="1">IFERROR(__xludf.DUMMYFUNCTION("SPLIT(A1262,"","")"),"US")</f>
        <v>US</v>
      </c>
      <c r="C1262" s="3" t="str">
        <f ca="1">IFERROR(__xludf.DUMMYFUNCTION("""COMPUTED_VALUE"""),"Portland State University")</f>
        <v>Portland State University</v>
      </c>
      <c r="D1262" s="4" t="str">
        <f ca="1">IFERROR(__xludf.DUMMYFUNCTION("""COMPUTED_VALUE"""),"http://www.pdx.edu/")</f>
        <v>http://www.pdx.edu/</v>
      </c>
      <c r="G1262" s="2" t="str">
        <f t="shared" ca="1" si="0"/>
        <v>Portland State University</v>
      </c>
      <c r="H1262" s="3" t="str">
        <f t="shared" ca="1" si="1"/>
        <v>Portland State University</v>
      </c>
      <c r="I1262" s="3" t="str">
        <f t="shared" ca="1" si="2"/>
        <v>'Portland State University',</v>
      </c>
    </row>
    <row r="1263" spans="1:9">
      <c r="A1263" s="1" t="s">
        <v>1261</v>
      </c>
      <c r="B1263" s="3" t="str">
        <f ca="1">IFERROR(__xludf.DUMMYFUNCTION("SPLIT(A1263,"","")"),"US")</f>
        <v>US</v>
      </c>
      <c r="C1263" s="3" t="str">
        <f ca="1">IFERROR(__xludf.DUMMYFUNCTION("""COMPUTED_VALUE"""),"Post University of Waterbury")</f>
        <v>Post University of Waterbury</v>
      </c>
      <c r="D1263" s="4" t="str">
        <f ca="1">IFERROR(__xludf.DUMMYFUNCTION("""COMPUTED_VALUE"""),"http://www.post.edu/")</f>
        <v>http://www.post.edu/</v>
      </c>
      <c r="G1263" s="2" t="str">
        <f t="shared" ca="1" si="0"/>
        <v>Post University of Waterbury</v>
      </c>
      <c r="H1263" s="3" t="str">
        <f t="shared" ca="1" si="1"/>
        <v>Post University of Waterbury</v>
      </c>
      <c r="I1263" s="3" t="str">
        <f t="shared" ca="1" si="2"/>
        <v>'Post University of Waterbury',</v>
      </c>
    </row>
    <row r="1264" spans="1:9">
      <c r="A1264" s="1" t="s">
        <v>1262</v>
      </c>
      <c r="B1264" s="3" t="str">
        <f ca="1">IFERROR(__xludf.DUMMYFUNCTION("SPLIT(A1264,"","")"),"US")</f>
        <v>US</v>
      </c>
      <c r="C1264" s="3" t="str">
        <f ca="1">IFERROR(__xludf.DUMMYFUNCTION("""COMPUTED_VALUE"""),"Prairie View Agricultural and Mechanical University")</f>
        <v>Prairie View Agricultural and Mechanical University</v>
      </c>
      <c r="D1264" s="4" t="str">
        <f ca="1">IFERROR(__xludf.DUMMYFUNCTION("""COMPUTED_VALUE"""),"http://www.pvamu.edu/")</f>
        <v>http://www.pvamu.edu/</v>
      </c>
      <c r="G1264" s="2" t="str">
        <f t="shared" ca="1" si="0"/>
        <v>Prairie View Agricultural and Mechanical University</v>
      </c>
      <c r="H1264" s="3" t="str">
        <f t="shared" ca="1" si="1"/>
        <v>Prairie View Agricultural and Mechanical University</v>
      </c>
      <c r="I1264" s="3" t="str">
        <f t="shared" ca="1" si="2"/>
        <v>'Prairie View Agricultural and Mechanical University',</v>
      </c>
    </row>
    <row r="1265" spans="1:9">
      <c r="A1265" s="1" t="s">
        <v>1263</v>
      </c>
      <c r="B1265" s="3" t="str">
        <f ca="1">IFERROR(__xludf.DUMMYFUNCTION("SPLIT(A1265,"","")"),"US")</f>
        <v>US</v>
      </c>
      <c r="C1265" s="3" t="str">
        <f ca="1">IFERROR(__xludf.DUMMYFUNCTION("""COMPUTED_VALUE"""),"Pratt Institute")</f>
        <v>Pratt Institute</v>
      </c>
      <c r="D1265" s="4" t="str">
        <f ca="1">IFERROR(__xludf.DUMMYFUNCTION("""COMPUTED_VALUE"""),"http://www.pratt.edu/")</f>
        <v>http://www.pratt.edu/</v>
      </c>
      <c r="G1265" s="2" t="str">
        <f t="shared" ca="1" si="0"/>
        <v>Pratt Institute</v>
      </c>
      <c r="H1265" s="3" t="str">
        <f t="shared" ca="1" si="1"/>
        <v>Pratt Institute</v>
      </c>
      <c r="I1265" s="3" t="str">
        <f t="shared" ca="1" si="2"/>
        <v>'Pratt Institute',</v>
      </c>
    </row>
    <row r="1266" spans="1:9">
      <c r="A1266" s="1" t="s">
        <v>1264</v>
      </c>
      <c r="B1266" s="3" t="str">
        <f ca="1">IFERROR(__xludf.DUMMYFUNCTION("SPLIT(A1266,"","")"),"US")</f>
        <v>US</v>
      </c>
      <c r="C1266" s="3" t="str">
        <f ca="1">IFERROR(__xludf.DUMMYFUNCTION("""COMPUTED_VALUE"""),"Presbyterian College")</f>
        <v>Presbyterian College</v>
      </c>
      <c r="D1266" s="4" t="str">
        <f ca="1">IFERROR(__xludf.DUMMYFUNCTION("""COMPUTED_VALUE"""),"http://www.presby.edu/")</f>
        <v>http://www.presby.edu/</v>
      </c>
      <c r="G1266" s="2" t="str">
        <f t="shared" ca="1" si="0"/>
        <v>Presbyterian College</v>
      </c>
      <c r="H1266" s="3" t="str">
        <f t="shared" ca="1" si="1"/>
        <v>Presbyterian College</v>
      </c>
      <c r="I1266" s="3" t="str">
        <f t="shared" ca="1" si="2"/>
        <v>'Presbyterian College',</v>
      </c>
    </row>
    <row r="1267" spans="1:9">
      <c r="A1267" s="1" t="s">
        <v>1265</v>
      </c>
      <c r="B1267" s="3" t="str">
        <f ca="1">IFERROR(__xludf.DUMMYFUNCTION("SPLIT(A1267,"","")"),"US")</f>
        <v>US</v>
      </c>
      <c r="C1267" s="3" t="str">
        <f ca="1">IFERROR(__xludf.DUMMYFUNCTION("""COMPUTED_VALUE"""),"Prescott College")</f>
        <v>Prescott College</v>
      </c>
      <c r="D1267" s="4" t="str">
        <f ca="1">IFERROR(__xludf.DUMMYFUNCTION("""COMPUTED_VALUE"""),"http://www.prescott.edu/")</f>
        <v>http://www.prescott.edu/</v>
      </c>
      <c r="G1267" s="2" t="str">
        <f t="shared" ca="1" si="0"/>
        <v>Prescott College</v>
      </c>
      <c r="H1267" s="3" t="str">
        <f t="shared" ca="1" si="1"/>
        <v>Prescott College</v>
      </c>
      <c r="I1267" s="3" t="str">
        <f t="shared" ca="1" si="2"/>
        <v>'Prescott College',</v>
      </c>
    </row>
    <row r="1268" spans="1:9">
      <c r="A1268" s="1" t="s">
        <v>1266</v>
      </c>
      <c r="B1268" s="3" t="str">
        <f ca="1">IFERROR(__xludf.DUMMYFUNCTION("SPLIT(A1268,"","")"),"US")</f>
        <v>US</v>
      </c>
      <c r="C1268" s="3" t="str">
        <f ca="1">IFERROR(__xludf.DUMMYFUNCTION("""COMPUTED_VALUE"""),"Preston University")</f>
        <v>Preston University</v>
      </c>
      <c r="D1268" s="4" t="str">
        <f ca="1">IFERROR(__xludf.DUMMYFUNCTION("""COMPUTED_VALUE"""),"http://www.preston.edu/")</f>
        <v>http://www.preston.edu/</v>
      </c>
      <c r="G1268" s="2" t="str">
        <f t="shared" ca="1" si="0"/>
        <v>Preston University</v>
      </c>
      <c r="H1268" s="3" t="str">
        <f t="shared" ca="1" si="1"/>
        <v>Preston University</v>
      </c>
      <c r="I1268" s="3" t="str">
        <f t="shared" ca="1" si="2"/>
        <v>'Preston University',</v>
      </c>
    </row>
    <row r="1269" spans="1:9">
      <c r="A1269" s="1" t="s">
        <v>1267</v>
      </c>
      <c r="B1269" s="3" t="str">
        <f ca="1">IFERROR(__xludf.DUMMYFUNCTION("SPLIT(A1269,"","")"),"US")</f>
        <v>US</v>
      </c>
      <c r="C1269" s="3" t="str">
        <f ca="1">IFERROR(__xludf.DUMMYFUNCTION("""COMPUTED_VALUE"""),"Princeton University")</f>
        <v>Princeton University</v>
      </c>
      <c r="D1269" s="4" t="str">
        <f ca="1">IFERROR(__xludf.DUMMYFUNCTION("""COMPUTED_VALUE"""),"http://www.princeton.edu/")</f>
        <v>http://www.princeton.edu/</v>
      </c>
      <c r="G1269" s="2" t="str">
        <f t="shared" ca="1" si="0"/>
        <v>Princeton University</v>
      </c>
      <c r="H1269" s="3" t="str">
        <f t="shared" ca="1" si="1"/>
        <v>Princeton University</v>
      </c>
      <c r="I1269" s="3" t="str">
        <f t="shared" ca="1" si="2"/>
        <v>'Princeton University',</v>
      </c>
    </row>
    <row r="1270" spans="1:9">
      <c r="A1270" s="1" t="s">
        <v>1268</v>
      </c>
      <c r="B1270" s="3" t="str">
        <f ca="1">IFERROR(__xludf.DUMMYFUNCTION("SPLIT(A1270,"","")"),"US")</f>
        <v>US</v>
      </c>
      <c r="C1270" s="3" t="str">
        <f ca="1">IFERROR(__xludf.DUMMYFUNCTION("""COMPUTED_VALUE"""),"Principia College")</f>
        <v>Principia College</v>
      </c>
      <c r="D1270" s="4" t="str">
        <f ca="1">IFERROR(__xludf.DUMMYFUNCTION("""COMPUTED_VALUE"""),"http://www.prin.edu/")</f>
        <v>http://www.prin.edu/</v>
      </c>
      <c r="G1270" s="2" t="str">
        <f t="shared" ca="1" si="0"/>
        <v>Principia College</v>
      </c>
      <c r="H1270" s="3" t="str">
        <f t="shared" ca="1" si="1"/>
        <v>Principia College</v>
      </c>
      <c r="I1270" s="3" t="str">
        <f t="shared" ca="1" si="2"/>
        <v>'Principia College',</v>
      </c>
    </row>
    <row r="1271" spans="1:9">
      <c r="A1271" s="1" t="s">
        <v>1269</v>
      </c>
      <c r="B1271" s="3" t="str">
        <f ca="1">IFERROR(__xludf.DUMMYFUNCTION("SPLIT(A1271,"","")"),"US")</f>
        <v>US</v>
      </c>
      <c r="C1271" s="3" t="str">
        <f ca="1">IFERROR(__xludf.DUMMYFUNCTION("""COMPUTED_VALUE"""),"Providence College")</f>
        <v>Providence College</v>
      </c>
      <c r="D1271" s="4" t="str">
        <f ca="1">IFERROR(__xludf.DUMMYFUNCTION("""COMPUTED_VALUE"""),"http://www.providence.edu/")</f>
        <v>http://www.providence.edu/</v>
      </c>
      <c r="G1271" s="2" t="str">
        <f t="shared" ca="1" si="0"/>
        <v>Providence College</v>
      </c>
      <c r="H1271" s="3" t="str">
        <f t="shared" ca="1" si="1"/>
        <v>Providence College</v>
      </c>
      <c r="I1271" s="3" t="str">
        <f t="shared" ca="1" si="2"/>
        <v>'Providence College',</v>
      </c>
    </row>
    <row r="1272" spans="1:9">
      <c r="A1272" s="1" t="s">
        <v>1270</v>
      </c>
      <c r="B1272" s="3" t="str">
        <f ca="1">IFERROR(__xludf.DUMMYFUNCTION("SPLIT(A1272,"","")"),"US")</f>
        <v>US</v>
      </c>
      <c r="C1272" s="3" t="str">
        <f ca="1">IFERROR(__xludf.DUMMYFUNCTION("""COMPUTED_VALUE"""),"Puget Sound Christian College")</f>
        <v>Puget Sound Christian College</v>
      </c>
      <c r="D1272" s="4" t="str">
        <f ca="1">IFERROR(__xludf.DUMMYFUNCTION("""COMPUTED_VALUE"""),"http://members.aa.net/~bluvase/pscchome.html")</f>
        <v>http://members.aa.net/~bluvase/pscchome.html</v>
      </c>
      <c r="G1272" s="2" t="str">
        <f t="shared" ca="1" si="0"/>
        <v>Puget Sound Christian College</v>
      </c>
      <c r="H1272" s="3" t="str">
        <f t="shared" ca="1" si="1"/>
        <v>Puget Sound Christian College</v>
      </c>
      <c r="I1272" s="3" t="str">
        <f t="shared" ca="1" si="2"/>
        <v>'Puget Sound Christian College',</v>
      </c>
    </row>
    <row r="1273" spans="1:9">
      <c r="A1273" s="1" t="s">
        <v>1271</v>
      </c>
      <c r="B1273" s="3" t="str">
        <f ca="1">IFERROR(__xludf.DUMMYFUNCTION("SPLIT(A1273,"","")"),"US")</f>
        <v>US</v>
      </c>
      <c r="C1273" s="3" t="str">
        <f ca="1">IFERROR(__xludf.DUMMYFUNCTION("""COMPUTED_VALUE"""),"Purdue University")</f>
        <v>Purdue University</v>
      </c>
      <c r="D1273" s="4" t="str">
        <f ca="1">IFERROR(__xludf.DUMMYFUNCTION("""COMPUTED_VALUE"""),"http://www.purdue.edu/")</f>
        <v>http://www.purdue.edu/</v>
      </c>
      <c r="G1273" s="2" t="str">
        <f t="shared" ca="1" si="0"/>
        <v>Purdue University</v>
      </c>
      <c r="H1273" s="3" t="str">
        <f t="shared" ca="1" si="1"/>
        <v>Purdue University</v>
      </c>
      <c r="I1273" s="3" t="str">
        <f t="shared" ca="1" si="2"/>
        <v>'Purdue University',</v>
      </c>
    </row>
    <row r="1274" spans="1:9">
      <c r="A1274" s="1" t="s">
        <v>1272</v>
      </c>
      <c r="B1274" s="3" t="str">
        <f ca="1">IFERROR(__xludf.DUMMYFUNCTION("SPLIT(A1274,"","")"),"US")</f>
        <v>US</v>
      </c>
      <c r="C1274" s="3" t="str">
        <f ca="1">IFERROR(__xludf.DUMMYFUNCTION("""COMPUTED_VALUE"""),"Purdue University Calumet")</f>
        <v>Purdue University Calumet</v>
      </c>
      <c r="D1274" s="4" t="str">
        <f ca="1">IFERROR(__xludf.DUMMYFUNCTION("""COMPUTED_VALUE"""),"http://www.calumet.purdue.edu/")</f>
        <v>http://www.calumet.purdue.edu/</v>
      </c>
      <c r="G1274" s="2" t="str">
        <f t="shared" ca="1" si="0"/>
        <v>Purdue University Calumet</v>
      </c>
      <c r="H1274" s="3" t="str">
        <f t="shared" ca="1" si="1"/>
        <v>Purdue University Calumet</v>
      </c>
      <c r="I1274" s="3" t="str">
        <f t="shared" ca="1" si="2"/>
        <v>'Purdue University Calumet',</v>
      </c>
    </row>
    <row r="1275" spans="1:9">
      <c r="A1275" s="1" t="s">
        <v>1273</v>
      </c>
      <c r="B1275" s="3" t="str">
        <f ca="1">IFERROR(__xludf.DUMMYFUNCTION("SPLIT(A1275,"","")"),"US")</f>
        <v>US</v>
      </c>
      <c r="C1275" s="3" t="str">
        <f ca="1">IFERROR(__xludf.DUMMYFUNCTION("""COMPUTED_VALUE"""),"Purdue University North Central")</f>
        <v>Purdue University North Central</v>
      </c>
      <c r="D1275" s="4" t="str">
        <f ca="1">IFERROR(__xludf.DUMMYFUNCTION("""COMPUTED_VALUE"""),"http://www.pnc.edu/")</f>
        <v>http://www.pnc.edu/</v>
      </c>
      <c r="G1275" s="2" t="str">
        <f t="shared" ca="1" si="0"/>
        <v>Purdue University North Central</v>
      </c>
      <c r="H1275" s="3" t="str">
        <f t="shared" ca="1" si="1"/>
        <v>Purdue University North Central</v>
      </c>
      <c r="I1275" s="3" t="str">
        <f t="shared" ca="1" si="2"/>
        <v>'Purdue University North Central',</v>
      </c>
    </row>
    <row r="1276" spans="1:9">
      <c r="A1276" s="1" t="s">
        <v>1274</v>
      </c>
      <c r="B1276" s="3" t="str">
        <f ca="1">IFERROR(__xludf.DUMMYFUNCTION("SPLIT(A1276,"","")"),"US")</f>
        <v>US</v>
      </c>
      <c r="C1276" s="3" t="str">
        <f ca="1">IFERROR(__xludf.DUMMYFUNCTION("""COMPUTED_VALUE"""),"Quantum-Veritas International University")</f>
        <v>Quantum-Veritas International University</v>
      </c>
      <c r="D1276" s="4" t="str">
        <f ca="1">IFERROR(__xludf.DUMMYFUNCTION("""COMPUTED_VALUE"""),"http://www.qvius.edu/")</f>
        <v>http://www.qvius.edu/</v>
      </c>
      <c r="G1276" s="2" t="str">
        <f t="shared" ca="1" si="0"/>
        <v>Quantum-Veritas International University</v>
      </c>
      <c r="H1276" s="3" t="str">
        <f t="shared" ca="1" si="1"/>
        <v>Quantum-Veritas International University</v>
      </c>
      <c r="I1276" s="3" t="str">
        <f t="shared" ca="1" si="2"/>
        <v>'Quantum-Veritas International University',</v>
      </c>
    </row>
    <row r="1277" spans="1:9">
      <c r="A1277" s="1" t="s">
        <v>1275</v>
      </c>
      <c r="B1277" s="3" t="str">
        <f ca="1">IFERROR(__xludf.DUMMYFUNCTION("SPLIT(A1277,"","")"),"US")</f>
        <v>US</v>
      </c>
      <c r="C1277" s="3" t="str">
        <f ca="1">IFERROR(__xludf.DUMMYFUNCTION("""COMPUTED_VALUE"""),"Queens College")</f>
        <v>Queens College</v>
      </c>
      <c r="D1277" s="4" t="str">
        <f ca="1">IFERROR(__xludf.DUMMYFUNCTION("""COMPUTED_VALUE"""),"http://www.queens.edu/")</f>
        <v>http://www.queens.edu/</v>
      </c>
      <c r="G1277" s="2" t="str">
        <f t="shared" ca="1" si="0"/>
        <v>Queens College</v>
      </c>
      <c r="H1277" s="3" t="str">
        <f t="shared" ca="1" si="1"/>
        <v>Queens College</v>
      </c>
      <c r="I1277" s="3" t="str">
        <f t="shared" ca="1" si="2"/>
        <v>'Queens College',</v>
      </c>
    </row>
    <row r="1278" spans="1:9">
      <c r="A1278" s="1" t="s">
        <v>1276</v>
      </c>
      <c r="B1278" s="3" t="str">
        <f ca="1">IFERROR(__xludf.DUMMYFUNCTION("SPLIT(A1278,"","")"),"US")</f>
        <v>US</v>
      </c>
      <c r="C1278" s="3" t="str">
        <f ca="1">IFERROR(__xludf.DUMMYFUNCTION("""COMPUTED_VALUE"""),"Quincy University")</f>
        <v>Quincy University</v>
      </c>
      <c r="D1278" s="4" t="str">
        <f ca="1">IFERROR(__xludf.DUMMYFUNCTION("""COMPUTED_VALUE"""),"http://www.quincy.edu/")</f>
        <v>http://www.quincy.edu/</v>
      </c>
      <c r="G1278" s="2" t="str">
        <f t="shared" ca="1" si="0"/>
        <v>Quincy University</v>
      </c>
      <c r="H1278" s="3" t="str">
        <f t="shared" ca="1" si="1"/>
        <v>Quincy University</v>
      </c>
      <c r="I1278" s="3" t="str">
        <f t="shared" ca="1" si="2"/>
        <v>'Quincy University',</v>
      </c>
    </row>
    <row r="1279" spans="1:9">
      <c r="A1279" s="1" t="s">
        <v>1277</v>
      </c>
      <c r="B1279" s="3" t="str">
        <f ca="1">IFERROR(__xludf.DUMMYFUNCTION("SPLIT(A1279,"","")"),"US")</f>
        <v>US</v>
      </c>
      <c r="C1279" s="3" t="str">
        <f ca="1">IFERROR(__xludf.DUMMYFUNCTION("""COMPUTED_VALUE"""),"Quinnipiac College")</f>
        <v>Quinnipiac College</v>
      </c>
      <c r="D1279" s="4" t="str">
        <f ca="1">IFERROR(__xludf.DUMMYFUNCTION("""COMPUTED_VALUE"""),"http://www.quinnipiac.edu/")</f>
        <v>http://www.quinnipiac.edu/</v>
      </c>
      <c r="G1279" s="2" t="str">
        <f t="shared" ca="1" si="0"/>
        <v>Quinnipiac College</v>
      </c>
      <c r="H1279" s="3" t="str">
        <f t="shared" ca="1" si="1"/>
        <v>Quinnipiac College</v>
      </c>
      <c r="I1279" s="3" t="str">
        <f t="shared" ca="1" si="2"/>
        <v>'Quinnipiac College',</v>
      </c>
    </row>
    <row r="1280" spans="1:9">
      <c r="A1280" s="1" t="s">
        <v>1278</v>
      </c>
      <c r="B1280" s="3" t="str">
        <f ca="1">IFERROR(__xludf.DUMMYFUNCTION("SPLIT(A1280,"","")"),"US")</f>
        <v>US</v>
      </c>
      <c r="C1280" s="3" t="str">
        <f ca="1">IFERROR(__xludf.DUMMYFUNCTION("""COMPUTED_VALUE"""),"Radford University")</f>
        <v>Radford University</v>
      </c>
      <c r="D1280" s="4" t="str">
        <f ca="1">IFERROR(__xludf.DUMMYFUNCTION("""COMPUTED_VALUE"""),"http://www.runet.edu/")</f>
        <v>http://www.runet.edu/</v>
      </c>
      <c r="G1280" s="2" t="str">
        <f t="shared" ca="1" si="0"/>
        <v>Radford University</v>
      </c>
      <c r="H1280" s="3" t="str">
        <f t="shared" ca="1" si="1"/>
        <v>Radford University</v>
      </c>
      <c r="I1280" s="3" t="str">
        <f t="shared" ca="1" si="2"/>
        <v>'Radford University',</v>
      </c>
    </row>
    <row r="1281" spans="1:9">
      <c r="A1281" s="1" t="s">
        <v>1279</v>
      </c>
      <c r="B1281" s="3" t="str">
        <f ca="1">IFERROR(__xludf.DUMMYFUNCTION("SPLIT(A1281,"","")"),"US")</f>
        <v>US</v>
      </c>
      <c r="C1281" s="3" t="str">
        <f ca="1">IFERROR(__xludf.DUMMYFUNCTION("""COMPUTED_VALUE"""),"Ramapo College of New Jersey")</f>
        <v>Ramapo College of New Jersey</v>
      </c>
      <c r="D1281" s="4" t="str">
        <f ca="1">IFERROR(__xludf.DUMMYFUNCTION("""COMPUTED_VALUE"""),"http://www.ramapo.edu/")</f>
        <v>http://www.ramapo.edu/</v>
      </c>
      <c r="G1281" s="2" t="str">
        <f t="shared" ca="1" si="0"/>
        <v>Ramapo College of New Jersey</v>
      </c>
      <c r="H1281" s="3" t="str">
        <f t="shared" ca="1" si="1"/>
        <v>Ramapo College of New Jersey</v>
      </c>
      <c r="I1281" s="3" t="str">
        <f t="shared" ca="1" si="2"/>
        <v>'Ramapo College of New Jersey',</v>
      </c>
    </row>
    <row r="1282" spans="1:9">
      <c r="A1282" s="1" t="s">
        <v>1280</v>
      </c>
      <c r="B1282" s="3" t="str">
        <f ca="1">IFERROR(__xludf.DUMMYFUNCTION("SPLIT(A1282,"","")"),"US")</f>
        <v>US</v>
      </c>
      <c r="C1282" s="3" t="str">
        <f ca="1">IFERROR(__xludf.DUMMYFUNCTION("""COMPUTED_VALUE"""),"Rand Graduate School of Policy Studies")</f>
        <v>Rand Graduate School of Policy Studies</v>
      </c>
      <c r="D1282" s="4" t="str">
        <f ca="1">IFERROR(__xludf.DUMMYFUNCTION("""COMPUTED_VALUE"""),"http://www.rgs.edu/")</f>
        <v>http://www.rgs.edu/</v>
      </c>
      <c r="G1282" s="2" t="str">
        <f t="shared" ca="1" si="0"/>
        <v>Rand Graduate School of Policy Studies</v>
      </c>
      <c r="H1282" s="3" t="str">
        <f t="shared" ca="1" si="1"/>
        <v>Rand Graduate School of Policy Studies</v>
      </c>
      <c r="I1282" s="3" t="str">
        <f t="shared" ca="1" si="2"/>
        <v>'Rand Graduate School of Policy Studies',</v>
      </c>
    </row>
    <row r="1283" spans="1:9">
      <c r="A1283" s="1" t="s">
        <v>1281</v>
      </c>
      <c r="B1283" s="3" t="str">
        <f ca="1">IFERROR(__xludf.DUMMYFUNCTION("SPLIT(A1283,"","")"),"US")</f>
        <v>US</v>
      </c>
      <c r="C1283" s="3" t="str">
        <f ca="1">IFERROR(__xludf.DUMMYFUNCTION("""COMPUTED_VALUE"""),"Randolph-Macon College")</f>
        <v>Randolph-Macon College</v>
      </c>
      <c r="D1283" s="4" t="str">
        <f ca="1">IFERROR(__xludf.DUMMYFUNCTION("""COMPUTED_VALUE"""),"http://www.rmc.edu/")</f>
        <v>http://www.rmc.edu/</v>
      </c>
      <c r="G1283" s="2" t="str">
        <f t="shared" ca="1" si="0"/>
        <v>Randolph-Macon College</v>
      </c>
      <c r="H1283" s="3" t="str">
        <f t="shared" ca="1" si="1"/>
        <v>Randolph-Macon College</v>
      </c>
      <c r="I1283" s="3" t="str">
        <f t="shared" ca="1" si="2"/>
        <v>'Randolph-Macon College',</v>
      </c>
    </row>
    <row r="1284" spans="1:9">
      <c r="A1284" s="1" t="s">
        <v>1282</v>
      </c>
      <c r="B1284" s="3" t="str">
        <f ca="1">IFERROR(__xludf.DUMMYFUNCTION("SPLIT(A1284,"","")"),"US")</f>
        <v>US</v>
      </c>
      <c r="C1284" s="3" t="str">
        <f ca="1">IFERROR(__xludf.DUMMYFUNCTION("""COMPUTED_VALUE"""),"Randolph-Macon Woman's College")</f>
        <v>Randolph-Macon Woman's College</v>
      </c>
      <c r="D1284" s="4" t="str">
        <f ca="1">IFERROR(__xludf.DUMMYFUNCTION("""COMPUTED_VALUE"""),"http://www.rmwc.edu/")</f>
        <v>http://www.rmwc.edu/</v>
      </c>
      <c r="G1284" s="2" t="str">
        <f t="shared" ca="1" si="0"/>
        <v>Randolph-Macon Woman's College</v>
      </c>
      <c r="H1284" s="3" t="str">
        <f t="shared" ca="1" si="1"/>
        <v>Randolph-Macon Woman's College</v>
      </c>
      <c r="I1284" s="3" t="str">
        <f t="shared" ca="1" si="2"/>
        <v>'Randolph-Macon Woman's College',</v>
      </c>
    </row>
    <row r="1285" spans="1:9">
      <c r="A1285" s="1" t="s">
        <v>1283</v>
      </c>
      <c r="B1285" s="3" t="str">
        <f ca="1">IFERROR(__xludf.DUMMYFUNCTION("SPLIT(A1285,"","")"),"US")</f>
        <v>US</v>
      </c>
      <c r="C1285" s="3" t="str">
        <f ca="1">IFERROR(__xludf.DUMMYFUNCTION("""COMPUTED_VALUE"""),"Rasmussen College")</f>
        <v>Rasmussen College</v>
      </c>
      <c r="D1285" s="4" t="str">
        <f ca="1">IFERROR(__xludf.DUMMYFUNCTION("""COMPUTED_VALUE"""),"http://www.rasmussen.edu/")</f>
        <v>http://www.rasmussen.edu/</v>
      </c>
      <c r="G1285" s="2" t="str">
        <f t="shared" ca="1" si="0"/>
        <v>Rasmussen College</v>
      </c>
      <c r="H1285" s="3" t="str">
        <f t="shared" ca="1" si="1"/>
        <v>Rasmussen College</v>
      </c>
      <c r="I1285" s="3" t="str">
        <f t="shared" ca="1" si="2"/>
        <v>'Rasmussen College',</v>
      </c>
    </row>
    <row r="1286" spans="1:9">
      <c r="A1286" s="1" t="s">
        <v>1284</v>
      </c>
      <c r="B1286" s="3" t="str">
        <f ca="1">IFERROR(__xludf.DUMMYFUNCTION("SPLIT(A1286,"","")"),"US")</f>
        <v>US</v>
      </c>
      <c r="C1286" s="3" t="str">
        <f ca="1">IFERROR(__xludf.DUMMYFUNCTION("""COMPUTED_VALUE"""),"""Rasmussen College")</f>
        <v>"Rasmussen College</v>
      </c>
      <c r="D1286" s="3" t="str">
        <f ca="1">IFERROR(__xludf.DUMMYFUNCTION("""COMPUTED_VALUE""")," Florida Campuses""")</f>
        <v xml:space="preserve"> Florida Campuses"</v>
      </c>
      <c r="E1286" s="4" t="str">
        <f ca="1">IFERROR(__xludf.DUMMYFUNCTION("""COMPUTED_VALUE"""),"http://www.rasmussen.edu/locations/florida/")</f>
        <v>http://www.rasmussen.edu/locations/florida/</v>
      </c>
      <c r="G1286" s="2" t="str">
        <f t="shared" ca="1" si="0"/>
        <v>"Rasmussen College</v>
      </c>
      <c r="H1286" s="3" t="str">
        <f t="shared" ca="1" si="1"/>
        <v>Rasmussen College</v>
      </c>
      <c r="I1286" s="3" t="str">
        <f t="shared" ca="1" si="2"/>
        <v>'Rasmussen College',</v>
      </c>
    </row>
    <row r="1287" spans="1:9">
      <c r="A1287" s="1" t="s">
        <v>1285</v>
      </c>
      <c r="B1287" s="3" t="str">
        <f ca="1">IFERROR(__xludf.DUMMYFUNCTION("SPLIT(A1287,"","")"),"US")</f>
        <v>US</v>
      </c>
      <c r="C1287" s="3" t="str">
        <f ca="1">IFERROR(__xludf.DUMMYFUNCTION("""COMPUTED_VALUE"""),"""Rasmussen College")</f>
        <v>"Rasmussen College</v>
      </c>
      <c r="D1287" s="3" t="str">
        <f ca="1">IFERROR(__xludf.DUMMYFUNCTION("""COMPUTED_VALUE""")," Illinois Campuses""")</f>
        <v xml:space="preserve"> Illinois Campuses"</v>
      </c>
      <c r="E1287" s="4" t="str">
        <f ca="1">IFERROR(__xludf.DUMMYFUNCTION("""COMPUTED_VALUE"""),"http://www.rasmussen.edu/locations/illinois/")</f>
        <v>http://www.rasmussen.edu/locations/illinois/</v>
      </c>
      <c r="G1287" s="2" t="str">
        <f t="shared" ca="1" si="0"/>
        <v>"Rasmussen College</v>
      </c>
      <c r="H1287" s="3" t="str">
        <f t="shared" ca="1" si="1"/>
        <v>Rasmussen College</v>
      </c>
      <c r="I1287" s="3" t="str">
        <f t="shared" ca="1" si="2"/>
        <v>'Rasmussen College',</v>
      </c>
    </row>
    <row r="1288" spans="1:9">
      <c r="A1288" s="1" t="s">
        <v>1286</v>
      </c>
      <c r="B1288" s="3" t="str">
        <f ca="1">IFERROR(__xludf.DUMMYFUNCTION("SPLIT(A1288,"","")"),"US")</f>
        <v>US</v>
      </c>
      <c r="C1288" s="3" t="str">
        <f ca="1">IFERROR(__xludf.DUMMYFUNCTION("""COMPUTED_VALUE"""),"""Rasmussen College")</f>
        <v>"Rasmussen College</v>
      </c>
      <c r="D1288" s="3" t="str">
        <f ca="1">IFERROR(__xludf.DUMMYFUNCTION("""COMPUTED_VALUE""")," Minnesota Campuses""")</f>
        <v xml:space="preserve"> Minnesota Campuses"</v>
      </c>
      <c r="E1288" s="4" t="str">
        <f ca="1">IFERROR(__xludf.DUMMYFUNCTION("""COMPUTED_VALUE"""),"http://www.rasmussen.edu/locations/minnesota/")</f>
        <v>http://www.rasmussen.edu/locations/minnesota/</v>
      </c>
      <c r="G1288" s="2" t="str">
        <f t="shared" ca="1" si="0"/>
        <v>"Rasmussen College</v>
      </c>
      <c r="H1288" s="3" t="str">
        <f t="shared" ca="1" si="1"/>
        <v>Rasmussen College</v>
      </c>
      <c r="I1288" s="3" t="str">
        <f t="shared" ca="1" si="2"/>
        <v>'Rasmussen College',</v>
      </c>
    </row>
    <row r="1289" spans="1:9">
      <c r="A1289" s="1" t="s">
        <v>1287</v>
      </c>
      <c r="B1289" s="3" t="str">
        <f ca="1">IFERROR(__xludf.DUMMYFUNCTION("SPLIT(A1289,"","")"),"US")</f>
        <v>US</v>
      </c>
      <c r="C1289" s="3" t="str">
        <f ca="1">IFERROR(__xludf.DUMMYFUNCTION("""COMPUTED_VALUE"""),"""Rasmussen College")</f>
        <v>"Rasmussen College</v>
      </c>
      <c r="D1289" s="3" t="str">
        <f ca="1">IFERROR(__xludf.DUMMYFUNCTION("""COMPUTED_VALUE""")," North Dakota Campuses""")</f>
        <v xml:space="preserve"> North Dakota Campuses"</v>
      </c>
      <c r="E1289" s="4" t="str">
        <f ca="1">IFERROR(__xludf.DUMMYFUNCTION("""COMPUTED_VALUE"""),"http://www.rasmussen.edu/locations/north-dakota/")</f>
        <v>http://www.rasmussen.edu/locations/north-dakota/</v>
      </c>
      <c r="G1289" s="2" t="str">
        <f t="shared" ca="1" si="0"/>
        <v>"Rasmussen College</v>
      </c>
      <c r="H1289" s="3" t="str">
        <f t="shared" ca="1" si="1"/>
        <v>Rasmussen College</v>
      </c>
      <c r="I1289" s="3" t="str">
        <f t="shared" ca="1" si="2"/>
        <v>'Rasmussen College',</v>
      </c>
    </row>
    <row r="1290" spans="1:9">
      <c r="A1290" s="1" t="s">
        <v>1288</v>
      </c>
      <c r="B1290" s="3" t="str">
        <f ca="1">IFERROR(__xludf.DUMMYFUNCTION("SPLIT(A1290,"","")"),"US")</f>
        <v>US</v>
      </c>
      <c r="C1290" s="3" t="str">
        <f ca="1">IFERROR(__xludf.DUMMYFUNCTION("""COMPUTED_VALUE"""),"""Rasmussen College")</f>
        <v>"Rasmussen College</v>
      </c>
      <c r="D1290" s="3" t="str">
        <f ca="1">IFERROR(__xludf.DUMMYFUNCTION("""COMPUTED_VALUE""")," Wisconsin Campuses""")</f>
        <v xml:space="preserve"> Wisconsin Campuses"</v>
      </c>
      <c r="E1290" s="4" t="str">
        <f ca="1">IFERROR(__xludf.DUMMYFUNCTION("""COMPUTED_VALUE"""),"http://www.rasmussen.edu/locations/wisconsin/")</f>
        <v>http://www.rasmussen.edu/locations/wisconsin/</v>
      </c>
      <c r="G1290" s="2" t="str">
        <f t="shared" ca="1" si="0"/>
        <v>"Rasmussen College</v>
      </c>
      <c r="H1290" s="3" t="str">
        <f t="shared" ca="1" si="1"/>
        <v>Rasmussen College</v>
      </c>
      <c r="I1290" s="3" t="str">
        <f t="shared" ca="1" si="2"/>
        <v>'Rasmussen College',</v>
      </c>
    </row>
    <row r="1291" spans="1:9">
      <c r="A1291" s="1" t="s">
        <v>1289</v>
      </c>
      <c r="B1291" s="3" t="str">
        <f ca="1">IFERROR(__xludf.DUMMYFUNCTION("SPLIT(A1291,"","")"),"US")</f>
        <v>US</v>
      </c>
      <c r="C1291" s="3" t="str">
        <f ca="1">IFERROR(__xludf.DUMMYFUNCTION("""COMPUTED_VALUE"""),"Reed College")</f>
        <v>Reed College</v>
      </c>
      <c r="D1291" s="4" t="str">
        <f ca="1">IFERROR(__xludf.DUMMYFUNCTION("""COMPUTED_VALUE"""),"http://www.reed.edu/")</f>
        <v>http://www.reed.edu/</v>
      </c>
      <c r="G1291" s="2" t="str">
        <f t="shared" ca="1" si="0"/>
        <v>Reed College</v>
      </c>
      <c r="H1291" s="3" t="str">
        <f t="shared" ca="1" si="1"/>
        <v>Reed College</v>
      </c>
      <c r="I1291" s="3" t="str">
        <f t="shared" ca="1" si="2"/>
        <v>'Reed College',</v>
      </c>
    </row>
    <row r="1292" spans="1:9">
      <c r="A1292" s="1" t="s">
        <v>1290</v>
      </c>
      <c r="B1292" s="3" t="str">
        <f ca="1">IFERROR(__xludf.DUMMYFUNCTION("SPLIT(A1292,"","")"),"US")</f>
        <v>US</v>
      </c>
      <c r="C1292" s="3" t="str">
        <f ca="1">IFERROR(__xludf.DUMMYFUNCTION("""COMPUTED_VALUE"""),"Reformed Bible College")</f>
        <v>Reformed Bible College</v>
      </c>
      <c r="D1292" s="4" t="str">
        <f ca="1">IFERROR(__xludf.DUMMYFUNCTION("""COMPUTED_VALUE"""),"http://www.reformed.edu/")</f>
        <v>http://www.reformed.edu/</v>
      </c>
      <c r="G1292" s="2" t="str">
        <f t="shared" ca="1" si="0"/>
        <v>Reformed Bible College</v>
      </c>
      <c r="H1292" s="3" t="str">
        <f t="shared" ca="1" si="1"/>
        <v>Reformed Bible College</v>
      </c>
      <c r="I1292" s="3" t="str">
        <f t="shared" ca="1" si="2"/>
        <v>'Reformed Bible College',</v>
      </c>
    </row>
    <row r="1293" spans="1:9">
      <c r="A1293" s="1" t="s">
        <v>1291</v>
      </c>
      <c r="B1293" s="3" t="str">
        <f ca="1">IFERROR(__xludf.DUMMYFUNCTION("SPLIT(A1293,"","")"),"US")</f>
        <v>US</v>
      </c>
      <c r="C1293" s="3" t="str">
        <f ca="1">IFERROR(__xludf.DUMMYFUNCTION("""COMPUTED_VALUE"""),"Regent International University")</f>
        <v>Regent International University</v>
      </c>
      <c r="D1293" s="4" t="str">
        <f ca="1">IFERROR(__xludf.DUMMYFUNCTION("""COMPUTED_VALUE"""),"http://www.regentinternational.net/")</f>
        <v>http://www.regentinternational.net/</v>
      </c>
      <c r="G1293" s="2" t="str">
        <f t="shared" ca="1" si="0"/>
        <v>Regent International University</v>
      </c>
      <c r="H1293" s="3" t="str">
        <f t="shared" ca="1" si="1"/>
        <v>Regent International University</v>
      </c>
      <c r="I1293" s="3" t="str">
        <f t="shared" ca="1" si="2"/>
        <v>'Regent International University',</v>
      </c>
    </row>
    <row r="1294" spans="1:9">
      <c r="A1294" s="1" t="s">
        <v>1292</v>
      </c>
      <c r="B1294" s="3" t="str">
        <f ca="1">IFERROR(__xludf.DUMMYFUNCTION("SPLIT(A1294,"","")"),"US")</f>
        <v>US</v>
      </c>
      <c r="C1294" s="3" t="str">
        <f ca="1">IFERROR(__xludf.DUMMYFUNCTION("""COMPUTED_VALUE"""),"Regent University")</f>
        <v>Regent University</v>
      </c>
      <c r="D1294" s="4" t="str">
        <f ca="1">IFERROR(__xludf.DUMMYFUNCTION("""COMPUTED_VALUE"""),"http://www.regent.edu/")</f>
        <v>http://www.regent.edu/</v>
      </c>
      <c r="G1294" s="2" t="str">
        <f t="shared" ca="1" si="0"/>
        <v>Regent University</v>
      </c>
      <c r="H1294" s="3" t="str">
        <f t="shared" ca="1" si="1"/>
        <v>Regent University</v>
      </c>
      <c r="I1294" s="3" t="str">
        <f t="shared" ca="1" si="2"/>
        <v>'Regent University',</v>
      </c>
    </row>
    <row r="1295" spans="1:9">
      <c r="A1295" s="1" t="s">
        <v>1293</v>
      </c>
      <c r="B1295" s="3" t="str">
        <f ca="1">IFERROR(__xludf.DUMMYFUNCTION("SPLIT(A1295,"","")"),"US")</f>
        <v>US</v>
      </c>
      <c r="C1295" s="3" t="str">
        <f ca="1">IFERROR(__xludf.DUMMYFUNCTION("""COMPUTED_VALUE"""),"Regis College")</f>
        <v>Regis College</v>
      </c>
      <c r="D1295" s="4" t="str">
        <f ca="1">IFERROR(__xludf.DUMMYFUNCTION("""COMPUTED_VALUE"""),"http://www.regiscollege.edu/")</f>
        <v>http://www.regiscollege.edu/</v>
      </c>
      <c r="G1295" s="2" t="str">
        <f t="shared" ca="1" si="0"/>
        <v>Regis College</v>
      </c>
      <c r="H1295" s="3" t="str">
        <f t="shared" ca="1" si="1"/>
        <v>Regis College</v>
      </c>
      <c r="I1295" s="3" t="str">
        <f t="shared" ca="1" si="2"/>
        <v>'Regis College',</v>
      </c>
    </row>
    <row r="1296" spans="1:9">
      <c r="A1296" s="1" t="s">
        <v>1294</v>
      </c>
      <c r="B1296" s="3" t="str">
        <f ca="1">IFERROR(__xludf.DUMMYFUNCTION("SPLIT(A1296,"","")"),"US")</f>
        <v>US</v>
      </c>
      <c r="C1296" s="3" t="str">
        <f ca="1">IFERROR(__xludf.DUMMYFUNCTION("""COMPUTED_VALUE"""),"Regis University")</f>
        <v>Regis University</v>
      </c>
      <c r="D1296" s="4" t="str">
        <f ca="1">IFERROR(__xludf.DUMMYFUNCTION("""COMPUTED_VALUE"""),"http://www.regis.edu/")</f>
        <v>http://www.regis.edu/</v>
      </c>
      <c r="G1296" s="2" t="str">
        <f t="shared" ca="1" si="0"/>
        <v>Regis University</v>
      </c>
      <c r="H1296" s="3" t="str">
        <f t="shared" ca="1" si="1"/>
        <v>Regis University</v>
      </c>
      <c r="I1296" s="3" t="str">
        <f t="shared" ca="1" si="2"/>
        <v>'Regis University',</v>
      </c>
    </row>
    <row r="1297" spans="1:9">
      <c r="A1297" s="1" t="s">
        <v>1295</v>
      </c>
      <c r="B1297" s="3" t="str">
        <f ca="1">IFERROR(__xludf.DUMMYFUNCTION("SPLIT(A1297,"","")"),"US")</f>
        <v>US</v>
      </c>
      <c r="C1297" s="3" t="str">
        <f ca="1">IFERROR(__xludf.DUMMYFUNCTION("""COMPUTED_VALUE"""),"Reinhardt College")</f>
        <v>Reinhardt College</v>
      </c>
      <c r="D1297" s="4" t="str">
        <f ca="1">IFERROR(__xludf.DUMMYFUNCTION("""COMPUTED_VALUE"""),"http://www.reinhardt.edu/")</f>
        <v>http://www.reinhardt.edu/</v>
      </c>
      <c r="G1297" s="2" t="str">
        <f t="shared" ca="1" si="0"/>
        <v>Reinhardt College</v>
      </c>
      <c r="H1297" s="3" t="str">
        <f t="shared" ca="1" si="1"/>
        <v>Reinhardt College</v>
      </c>
      <c r="I1297" s="3" t="str">
        <f t="shared" ca="1" si="2"/>
        <v>'Reinhardt College',</v>
      </c>
    </row>
    <row r="1298" spans="1:9">
      <c r="A1298" s="1" t="s">
        <v>1296</v>
      </c>
      <c r="B1298" s="3" t="str">
        <f ca="1">IFERROR(__xludf.DUMMYFUNCTION("SPLIT(A1298,"","")"),"US")</f>
        <v>US</v>
      </c>
      <c r="C1298" s="3" t="str">
        <f ca="1">IFERROR(__xludf.DUMMYFUNCTION("""COMPUTED_VALUE"""),"Rensselaer Polytechnic Institute")</f>
        <v>Rensselaer Polytechnic Institute</v>
      </c>
      <c r="D1298" s="4" t="str">
        <f ca="1">IFERROR(__xludf.DUMMYFUNCTION("""COMPUTED_VALUE"""),"http://www.rpi.edu/")</f>
        <v>http://www.rpi.edu/</v>
      </c>
      <c r="G1298" s="2" t="str">
        <f t="shared" ca="1" si="0"/>
        <v>Rensselaer Polytechnic Institute</v>
      </c>
      <c r="H1298" s="3" t="str">
        <f t="shared" ca="1" si="1"/>
        <v>Rensselaer Polytechnic Institute</v>
      </c>
      <c r="I1298" s="3" t="str">
        <f t="shared" ca="1" si="2"/>
        <v>'Rensselaer Polytechnic Institute',</v>
      </c>
    </row>
    <row r="1299" spans="1:9">
      <c r="A1299" s="1" t="s">
        <v>1297</v>
      </c>
      <c r="B1299" s="3" t="str">
        <f ca="1">IFERROR(__xludf.DUMMYFUNCTION("SPLIT(A1299,"","")"),"US")</f>
        <v>US</v>
      </c>
      <c r="C1299" s="3" t="str">
        <f ca="1">IFERROR(__xludf.DUMMYFUNCTION("""COMPUTED_VALUE"""),"Research College of Nursing - Rockhurst University")</f>
        <v>Research College of Nursing - Rockhurst University</v>
      </c>
      <c r="D1299" s="4" t="str">
        <f ca="1">IFERROR(__xludf.DUMMYFUNCTION("""COMPUTED_VALUE"""),"http://www.rockhurst.edu/3.0/academic_programs/nursing/admis3.html")</f>
        <v>http://www.rockhurst.edu/3.0/academic_programs/nursing/admis3.html</v>
      </c>
      <c r="G1299" s="2" t="str">
        <f t="shared" ca="1" si="0"/>
        <v>Research College of Nursing - Rockhurst University</v>
      </c>
      <c r="H1299" s="3" t="str">
        <f t="shared" ca="1" si="1"/>
        <v>Research College of Nursing - Rockhurst University</v>
      </c>
      <c r="I1299" s="3" t="str">
        <f t="shared" ca="1" si="2"/>
        <v>'Research College of Nursing - Rockhurst University',</v>
      </c>
    </row>
    <row r="1300" spans="1:9">
      <c r="A1300" s="1" t="s">
        <v>1298</v>
      </c>
      <c r="B1300" s="3" t="str">
        <f ca="1">IFERROR(__xludf.DUMMYFUNCTION("SPLIT(A1300,"","")"),"US")</f>
        <v>US</v>
      </c>
      <c r="C1300" s="3" t="str">
        <f ca="1">IFERROR(__xludf.DUMMYFUNCTION("""COMPUTED_VALUE"""),"Rhode Island College")</f>
        <v>Rhode Island College</v>
      </c>
      <c r="D1300" s="4" t="str">
        <f ca="1">IFERROR(__xludf.DUMMYFUNCTION("""COMPUTED_VALUE"""),"http://www.ric.edu/")</f>
        <v>http://www.ric.edu/</v>
      </c>
      <c r="G1300" s="2" t="str">
        <f t="shared" ca="1" si="0"/>
        <v>Rhode Island College</v>
      </c>
      <c r="H1300" s="3" t="str">
        <f t="shared" ca="1" si="1"/>
        <v>Rhode Island College</v>
      </c>
      <c r="I1300" s="3" t="str">
        <f t="shared" ca="1" si="2"/>
        <v>'Rhode Island College',</v>
      </c>
    </row>
    <row r="1301" spans="1:9">
      <c r="A1301" s="1" t="s">
        <v>1299</v>
      </c>
      <c r="B1301" s="3" t="str">
        <f ca="1">IFERROR(__xludf.DUMMYFUNCTION("SPLIT(A1301,"","")"),"US")</f>
        <v>US</v>
      </c>
      <c r="C1301" s="3" t="str">
        <f ca="1">IFERROR(__xludf.DUMMYFUNCTION("""COMPUTED_VALUE"""),"Rhode Island School of Design")</f>
        <v>Rhode Island School of Design</v>
      </c>
      <c r="D1301" s="4" t="str">
        <f ca="1">IFERROR(__xludf.DUMMYFUNCTION("""COMPUTED_VALUE"""),"http://www.risd.edu/")</f>
        <v>http://www.risd.edu/</v>
      </c>
      <c r="G1301" s="2" t="str">
        <f t="shared" ca="1" si="0"/>
        <v>Rhode Island School of Design</v>
      </c>
      <c r="H1301" s="3" t="str">
        <f t="shared" ca="1" si="1"/>
        <v>Rhode Island School of Design</v>
      </c>
      <c r="I1301" s="3" t="str">
        <f t="shared" ca="1" si="2"/>
        <v>'Rhode Island School of Design',</v>
      </c>
    </row>
    <row r="1302" spans="1:9">
      <c r="A1302" s="1" t="s">
        <v>1300</v>
      </c>
      <c r="B1302" s="3" t="str">
        <f ca="1">IFERROR(__xludf.DUMMYFUNCTION("SPLIT(A1302,"","")"),"US")</f>
        <v>US</v>
      </c>
      <c r="C1302" s="3" t="str">
        <f ca="1">IFERROR(__xludf.DUMMYFUNCTION("""COMPUTED_VALUE"""),"Rhodes College")</f>
        <v>Rhodes College</v>
      </c>
      <c r="D1302" s="4" t="str">
        <f ca="1">IFERROR(__xludf.DUMMYFUNCTION("""COMPUTED_VALUE"""),"http://www.rhodes.edu/")</f>
        <v>http://www.rhodes.edu/</v>
      </c>
      <c r="G1302" s="2" t="str">
        <f t="shared" ca="1" si="0"/>
        <v>Rhodes College</v>
      </c>
      <c r="H1302" s="3" t="str">
        <f t="shared" ca="1" si="1"/>
        <v>Rhodes College</v>
      </c>
      <c r="I1302" s="3" t="str">
        <f t="shared" ca="1" si="2"/>
        <v>'Rhodes College',</v>
      </c>
    </row>
    <row r="1303" spans="1:9">
      <c r="A1303" s="1" t="s">
        <v>1301</v>
      </c>
      <c r="B1303" s="3" t="str">
        <f ca="1">IFERROR(__xludf.DUMMYFUNCTION("SPLIT(A1303,"","")"),"US")</f>
        <v>US</v>
      </c>
      <c r="C1303" s="3" t="str">
        <f ca="1">IFERROR(__xludf.DUMMYFUNCTION("""COMPUTED_VALUE"""),"Rice University")</f>
        <v>Rice University</v>
      </c>
      <c r="D1303" s="4" t="str">
        <f ca="1">IFERROR(__xludf.DUMMYFUNCTION("""COMPUTED_VALUE"""),"http://www.rice.edu/")</f>
        <v>http://www.rice.edu/</v>
      </c>
      <c r="G1303" s="2" t="str">
        <f t="shared" ca="1" si="0"/>
        <v>Rice University</v>
      </c>
      <c r="H1303" s="3" t="str">
        <f t="shared" ca="1" si="1"/>
        <v>Rice University</v>
      </c>
      <c r="I1303" s="3" t="str">
        <f t="shared" ca="1" si="2"/>
        <v>'Rice University',</v>
      </c>
    </row>
    <row r="1304" spans="1:9">
      <c r="A1304" s="1" t="s">
        <v>1302</v>
      </c>
      <c r="B1304" s="3" t="str">
        <f ca="1">IFERROR(__xludf.DUMMYFUNCTION("SPLIT(A1304,"","")"),"US")</f>
        <v>US</v>
      </c>
      <c r="C1304" s="3" t="str">
        <f ca="1">IFERROR(__xludf.DUMMYFUNCTION("""COMPUTED_VALUE"""),"Richard Stockton College of New Jersey")</f>
        <v>Richard Stockton College of New Jersey</v>
      </c>
      <c r="D1304" s="4" t="str">
        <f ca="1">IFERROR(__xludf.DUMMYFUNCTION("""COMPUTED_VALUE"""),"http://www.stockton.edu/")</f>
        <v>http://www.stockton.edu/</v>
      </c>
      <c r="G1304" s="2" t="str">
        <f t="shared" ca="1" si="0"/>
        <v>Richard Stockton College of New Jersey</v>
      </c>
      <c r="H1304" s="3" t="str">
        <f t="shared" ca="1" si="1"/>
        <v>Richard Stockton College of New Jersey</v>
      </c>
      <c r="I1304" s="3" t="str">
        <f t="shared" ca="1" si="2"/>
        <v>'Richard Stockton College of New Jersey',</v>
      </c>
    </row>
    <row r="1305" spans="1:9">
      <c r="A1305" s="1" t="s">
        <v>1303</v>
      </c>
      <c r="B1305" s="3" t="str">
        <f ca="1">IFERROR(__xludf.DUMMYFUNCTION("SPLIT(A1305,"","")"),"US")</f>
        <v>US</v>
      </c>
      <c r="C1305" s="3" t="str">
        <f ca="1">IFERROR(__xludf.DUMMYFUNCTION("""COMPUTED_VALUE"""),"Rider University")</f>
        <v>Rider University</v>
      </c>
      <c r="D1305" s="4" t="str">
        <f ca="1">IFERROR(__xludf.DUMMYFUNCTION("""COMPUTED_VALUE"""),"http://www.rider.edu/")</f>
        <v>http://www.rider.edu/</v>
      </c>
      <c r="G1305" s="2" t="str">
        <f t="shared" ca="1" si="0"/>
        <v>Rider University</v>
      </c>
      <c r="H1305" s="3" t="str">
        <f t="shared" ca="1" si="1"/>
        <v>Rider University</v>
      </c>
      <c r="I1305" s="3" t="str">
        <f t="shared" ca="1" si="2"/>
        <v>'Rider University',</v>
      </c>
    </row>
    <row r="1306" spans="1:9">
      <c r="A1306" s="1" t="s">
        <v>1304</v>
      </c>
      <c r="B1306" s="3" t="str">
        <f ca="1">IFERROR(__xludf.DUMMYFUNCTION("SPLIT(A1306,"","")"),"US")</f>
        <v>US</v>
      </c>
      <c r="C1306" s="3" t="str">
        <f ca="1">IFERROR(__xludf.DUMMYFUNCTION("""COMPUTED_VALUE"""),"Ringling College of Art and Design")</f>
        <v>Ringling College of Art and Design</v>
      </c>
      <c r="D1306" s="4" t="str">
        <f ca="1">IFERROR(__xludf.DUMMYFUNCTION("""COMPUTED_VALUE"""),"http://www.ringling.edu/")</f>
        <v>http://www.ringling.edu/</v>
      </c>
      <c r="G1306" s="2" t="str">
        <f t="shared" ca="1" si="0"/>
        <v>Ringling College of Art and Design</v>
      </c>
      <c r="H1306" s="3" t="str">
        <f t="shared" ca="1" si="1"/>
        <v>Ringling College of Art and Design</v>
      </c>
      <c r="I1306" s="3" t="str">
        <f t="shared" ca="1" si="2"/>
        <v>'Ringling College of Art and Design',</v>
      </c>
    </row>
    <row r="1307" spans="1:9">
      <c r="A1307" s="1" t="s">
        <v>1305</v>
      </c>
      <c r="B1307" s="3" t="str">
        <f ca="1">IFERROR(__xludf.DUMMYFUNCTION("SPLIT(A1307,"","")"),"US")</f>
        <v>US</v>
      </c>
      <c r="C1307" s="3" t="str">
        <f ca="1">IFERROR(__xludf.DUMMYFUNCTION("""COMPUTED_VALUE"""),"Ripon College")</f>
        <v>Ripon College</v>
      </c>
      <c r="D1307" s="4" t="str">
        <f ca="1">IFERROR(__xludf.DUMMYFUNCTION("""COMPUTED_VALUE"""),"http://www.ripon.edu/")</f>
        <v>http://www.ripon.edu/</v>
      </c>
      <c r="G1307" s="2" t="str">
        <f t="shared" ca="1" si="0"/>
        <v>Ripon College</v>
      </c>
      <c r="H1307" s="3" t="str">
        <f t="shared" ca="1" si="1"/>
        <v>Ripon College</v>
      </c>
      <c r="I1307" s="3" t="str">
        <f t="shared" ca="1" si="2"/>
        <v>'Ripon College',</v>
      </c>
    </row>
    <row r="1308" spans="1:9">
      <c r="A1308" s="1" t="s">
        <v>1306</v>
      </c>
      <c r="B1308" s="3" t="str">
        <f ca="1">IFERROR(__xludf.DUMMYFUNCTION("SPLIT(A1308,"","")"),"US")</f>
        <v>US</v>
      </c>
      <c r="C1308" s="3" t="str">
        <f ca="1">IFERROR(__xludf.DUMMYFUNCTION("""COMPUTED_VALUE"""),"Rivier College")</f>
        <v>Rivier College</v>
      </c>
      <c r="D1308" s="4" t="str">
        <f ca="1">IFERROR(__xludf.DUMMYFUNCTION("""COMPUTED_VALUE"""),"http://www.rivier.edu/")</f>
        <v>http://www.rivier.edu/</v>
      </c>
      <c r="G1308" s="2" t="str">
        <f t="shared" ca="1" si="0"/>
        <v>Rivier College</v>
      </c>
      <c r="H1308" s="3" t="str">
        <f t="shared" ca="1" si="1"/>
        <v>Rivier College</v>
      </c>
      <c r="I1308" s="3" t="str">
        <f t="shared" ca="1" si="2"/>
        <v>'Rivier College',</v>
      </c>
    </row>
    <row r="1309" spans="1:9">
      <c r="A1309" s="1" t="s">
        <v>1307</v>
      </c>
      <c r="B1309" s="3" t="str">
        <f ca="1">IFERROR(__xludf.DUMMYFUNCTION("SPLIT(A1309,"","")"),"US")</f>
        <v>US</v>
      </c>
      <c r="C1309" s="3" t="str">
        <f ca="1">IFERROR(__xludf.DUMMYFUNCTION("""COMPUTED_VALUE"""),"Roanoke Bible College")</f>
        <v>Roanoke Bible College</v>
      </c>
      <c r="D1309" s="4" t="str">
        <f ca="1">IFERROR(__xludf.DUMMYFUNCTION("""COMPUTED_VALUE"""),"http://www.roanokebible.edu/")</f>
        <v>http://www.roanokebible.edu/</v>
      </c>
      <c r="G1309" s="2" t="str">
        <f t="shared" ca="1" si="0"/>
        <v>Roanoke Bible College</v>
      </c>
      <c r="H1309" s="3" t="str">
        <f t="shared" ca="1" si="1"/>
        <v>Roanoke Bible College</v>
      </c>
      <c r="I1309" s="3" t="str">
        <f t="shared" ca="1" si="2"/>
        <v>'Roanoke Bible College',</v>
      </c>
    </row>
    <row r="1310" spans="1:9">
      <c r="A1310" s="1" t="s">
        <v>1308</v>
      </c>
      <c r="B1310" s="3" t="str">
        <f ca="1">IFERROR(__xludf.DUMMYFUNCTION("SPLIT(A1310,"","")"),"US")</f>
        <v>US</v>
      </c>
      <c r="C1310" s="3" t="str">
        <f ca="1">IFERROR(__xludf.DUMMYFUNCTION("""COMPUTED_VALUE"""),"Roanoke College")</f>
        <v>Roanoke College</v>
      </c>
      <c r="D1310" s="4" t="str">
        <f ca="1">IFERROR(__xludf.DUMMYFUNCTION("""COMPUTED_VALUE"""),"http://www.roanoke.edu/")</f>
        <v>http://www.roanoke.edu/</v>
      </c>
      <c r="G1310" s="2" t="str">
        <f t="shared" ca="1" si="0"/>
        <v>Roanoke College</v>
      </c>
      <c r="H1310" s="3" t="str">
        <f t="shared" ca="1" si="1"/>
        <v>Roanoke College</v>
      </c>
      <c r="I1310" s="3" t="str">
        <f t="shared" ca="1" si="2"/>
        <v>'Roanoke College',</v>
      </c>
    </row>
    <row r="1311" spans="1:9">
      <c r="A1311" s="1" t="s">
        <v>1309</v>
      </c>
      <c r="B1311" s="3" t="str">
        <f ca="1">IFERROR(__xludf.DUMMYFUNCTION("SPLIT(A1311,"","")"),"US")</f>
        <v>US</v>
      </c>
      <c r="C1311" s="3" t="str">
        <f ca="1">IFERROR(__xludf.DUMMYFUNCTION("""COMPUTED_VALUE"""),"Robert Morris College")</f>
        <v>Robert Morris College</v>
      </c>
      <c r="D1311" s="4" t="str">
        <f ca="1">IFERROR(__xludf.DUMMYFUNCTION("""COMPUTED_VALUE"""),"http://www.robert-morris.edu/")</f>
        <v>http://www.robert-morris.edu/</v>
      </c>
      <c r="G1311" s="2" t="str">
        <f t="shared" ca="1" si="0"/>
        <v>Robert Morris College</v>
      </c>
      <c r="H1311" s="3" t="str">
        <f t="shared" ca="1" si="1"/>
        <v>Robert Morris College</v>
      </c>
      <c r="I1311" s="3" t="str">
        <f t="shared" ca="1" si="2"/>
        <v>'Robert Morris College',</v>
      </c>
    </row>
    <row r="1312" spans="1:9">
      <c r="A1312" s="1" t="s">
        <v>1310</v>
      </c>
      <c r="B1312" s="3" t="str">
        <f ca="1">IFERROR(__xludf.DUMMYFUNCTION("SPLIT(A1312,"","")"),"US")</f>
        <v>US</v>
      </c>
      <c r="C1312" s="3" t="str">
        <f ca="1">IFERROR(__xludf.DUMMYFUNCTION("""COMPUTED_VALUE"""),"Robert Morris College of Chicago")</f>
        <v>Robert Morris College of Chicago</v>
      </c>
      <c r="D1312" s="4" t="str">
        <f ca="1">IFERROR(__xludf.DUMMYFUNCTION("""COMPUTED_VALUE"""),"http://www.rmcil.edu/")</f>
        <v>http://www.rmcil.edu/</v>
      </c>
      <c r="G1312" s="2" t="str">
        <f t="shared" ca="1" si="0"/>
        <v>Robert Morris College of Chicago</v>
      </c>
      <c r="H1312" s="3" t="str">
        <f t="shared" ca="1" si="1"/>
        <v>Robert Morris College of Chicago</v>
      </c>
      <c r="I1312" s="3" t="str">
        <f t="shared" ca="1" si="2"/>
        <v>'Robert Morris College of Chicago',</v>
      </c>
    </row>
    <row r="1313" spans="1:9">
      <c r="A1313" s="1" t="s">
        <v>1311</v>
      </c>
      <c r="B1313" s="3" t="str">
        <f ca="1">IFERROR(__xludf.DUMMYFUNCTION("SPLIT(A1313,"","")"),"US")</f>
        <v>US</v>
      </c>
      <c r="C1313" s="3" t="str">
        <f ca="1">IFERROR(__xludf.DUMMYFUNCTION("""COMPUTED_VALUE"""),"Roberts Wesleyan College")</f>
        <v>Roberts Wesleyan College</v>
      </c>
      <c r="D1313" s="4" t="str">
        <f ca="1">IFERROR(__xludf.DUMMYFUNCTION("""COMPUTED_VALUE"""),"http://www.rwc.edu/")</f>
        <v>http://www.rwc.edu/</v>
      </c>
      <c r="G1313" s="2" t="str">
        <f t="shared" ca="1" si="0"/>
        <v>Roberts Wesleyan College</v>
      </c>
      <c r="H1313" s="3" t="str">
        <f t="shared" ca="1" si="1"/>
        <v>Roberts Wesleyan College</v>
      </c>
      <c r="I1313" s="3" t="str">
        <f t="shared" ca="1" si="2"/>
        <v>'Roberts Wesleyan College',</v>
      </c>
    </row>
    <row r="1314" spans="1:9">
      <c r="A1314" s="1" t="s">
        <v>1312</v>
      </c>
      <c r="B1314" s="3" t="str">
        <f ca="1">IFERROR(__xludf.DUMMYFUNCTION("SPLIT(A1314,"","")"),"US")</f>
        <v>US</v>
      </c>
      <c r="C1314" s="3" t="str">
        <f ca="1">IFERROR(__xludf.DUMMYFUNCTION("""COMPUTED_VALUE"""),"Rochester College")</f>
        <v>Rochester College</v>
      </c>
      <c r="D1314" s="4" t="str">
        <f ca="1">IFERROR(__xludf.DUMMYFUNCTION("""COMPUTED_VALUE"""),"http://www.rc.edu/")</f>
        <v>http://www.rc.edu/</v>
      </c>
      <c r="G1314" s="2" t="str">
        <f t="shared" ca="1" si="0"/>
        <v>Rochester College</v>
      </c>
      <c r="H1314" s="3" t="str">
        <f t="shared" ca="1" si="1"/>
        <v>Rochester College</v>
      </c>
      <c r="I1314" s="3" t="str">
        <f t="shared" ca="1" si="2"/>
        <v>'Rochester College',</v>
      </c>
    </row>
    <row r="1315" spans="1:9">
      <c r="A1315" s="1" t="s">
        <v>1313</v>
      </c>
      <c r="B1315" s="3" t="str">
        <f ca="1">IFERROR(__xludf.DUMMYFUNCTION("SPLIT(A1315,"","")"),"US")</f>
        <v>US</v>
      </c>
      <c r="C1315" s="3" t="str">
        <f ca="1">IFERROR(__xludf.DUMMYFUNCTION("""COMPUTED_VALUE"""),"Rochester Institute of Technology")</f>
        <v>Rochester Institute of Technology</v>
      </c>
      <c r="D1315" s="4" t="str">
        <f ca="1">IFERROR(__xludf.DUMMYFUNCTION("""COMPUTED_VALUE"""),"http://www.rit.edu/")</f>
        <v>http://www.rit.edu/</v>
      </c>
      <c r="G1315" s="2" t="str">
        <f t="shared" ca="1" si="0"/>
        <v>Rochester Institute of Technology</v>
      </c>
      <c r="H1315" s="3" t="str">
        <f t="shared" ca="1" si="1"/>
        <v>Rochester Institute of Technology</v>
      </c>
      <c r="I1315" s="3" t="str">
        <f t="shared" ca="1" si="2"/>
        <v>'Rochester Institute of Technology',</v>
      </c>
    </row>
    <row r="1316" spans="1:9">
      <c r="A1316" s="1" t="s">
        <v>1314</v>
      </c>
      <c r="B1316" s="3" t="str">
        <f ca="1">IFERROR(__xludf.DUMMYFUNCTION("SPLIT(A1316,"","")"),"US")</f>
        <v>US</v>
      </c>
      <c r="C1316" s="3" t="str">
        <f ca="1">IFERROR(__xludf.DUMMYFUNCTION("""COMPUTED_VALUE"""),"Rockford College")</f>
        <v>Rockford College</v>
      </c>
      <c r="D1316" s="4" t="str">
        <f ca="1">IFERROR(__xludf.DUMMYFUNCTION("""COMPUTED_VALUE"""),"http://www.rockford.edu/")</f>
        <v>http://www.rockford.edu/</v>
      </c>
      <c r="G1316" s="2" t="str">
        <f t="shared" ca="1" si="0"/>
        <v>Rockford College</v>
      </c>
      <c r="H1316" s="3" t="str">
        <f t="shared" ca="1" si="1"/>
        <v>Rockford College</v>
      </c>
      <c r="I1316" s="3" t="str">
        <f t="shared" ca="1" si="2"/>
        <v>'Rockford College',</v>
      </c>
    </row>
    <row r="1317" spans="1:9">
      <c r="A1317" s="1" t="s">
        <v>1315</v>
      </c>
      <c r="B1317" s="3" t="str">
        <f ca="1">IFERROR(__xludf.DUMMYFUNCTION("SPLIT(A1317,"","")"),"US")</f>
        <v>US</v>
      </c>
      <c r="C1317" s="3" t="str">
        <f ca="1">IFERROR(__xludf.DUMMYFUNCTION("""COMPUTED_VALUE"""),"Rockhurst College")</f>
        <v>Rockhurst College</v>
      </c>
      <c r="D1317" s="4" t="str">
        <f ca="1">IFERROR(__xludf.DUMMYFUNCTION("""COMPUTED_VALUE"""),"http://www.rockhurst.edu/")</f>
        <v>http://www.rockhurst.edu/</v>
      </c>
      <c r="G1317" s="2" t="str">
        <f t="shared" ca="1" si="0"/>
        <v>Rockhurst College</v>
      </c>
      <c r="H1317" s="3" t="str">
        <f t="shared" ca="1" si="1"/>
        <v>Rockhurst College</v>
      </c>
      <c r="I1317" s="3" t="str">
        <f t="shared" ca="1" si="2"/>
        <v>'Rockhurst College',</v>
      </c>
    </row>
    <row r="1318" spans="1:9">
      <c r="A1318" s="1" t="s">
        <v>1316</v>
      </c>
      <c r="B1318" s="3" t="str">
        <f ca="1">IFERROR(__xludf.DUMMYFUNCTION("SPLIT(A1318,"","")"),"US")</f>
        <v>US</v>
      </c>
      <c r="C1318" s="3" t="str">
        <f ca="1">IFERROR(__xludf.DUMMYFUNCTION("""COMPUTED_VALUE"""),"Rock Valley College")</f>
        <v>Rock Valley College</v>
      </c>
      <c r="D1318" s="4" t="str">
        <f ca="1">IFERROR(__xludf.DUMMYFUNCTION("""COMPUTED_VALUE"""),"http://www.rvc.cc.il.us/")</f>
        <v>http://www.rvc.cc.il.us/</v>
      </c>
      <c r="G1318" s="2" t="str">
        <f t="shared" ca="1" si="0"/>
        <v>Rock Valley College</v>
      </c>
      <c r="H1318" s="3" t="str">
        <f t="shared" ca="1" si="1"/>
        <v>Rock Valley College</v>
      </c>
      <c r="I1318" s="3" t="str">
        <f t="shared" ca="1" si="2"/>
        <v>'Rock Valley College',</v>
      </c>
    </row>
    <row r="1319" spans="1:9">
      <c r="A1319" s="1" t="s">
        <v>1317</v>
      </c>
      <c r="B1319" s="3" t="str">
        <f ca="1">IFERROR(__xludf.DUMMYFUNCTION("SPLIT(A1319,"","")"),"US")</f>
        <v>US</v>
      </c>
      <c r="C1319" s="3" t="str">
        <f ca="1">IFERROR(__xludf.DUMMYFUNCTION("""COMPUTED_VALUE"""),"Rocky Mountain College")</f>
        <v>Rocky Mountain College</v>
      </c>
      <c r="D1319" s="4" t="str">
        <f ca="1">IFERROR(__xludf.DUMMYFUNCTION("""COMPUTED_VALUE"""),"http://www.rocky.edu/")</f>
        <v>http://www.rocky.edu/</v>
      </c>
      <c r="G1319" s="2" t="str">
        <f t="shared" ca="1" si="0"/>
        <v>Rocky Mountain College</v>
      </c>
      <c r="H1319" s="3" t="str">
        <f t="shared" ca="1" si="1"/>
        <v>Rocky Mountain College</v>
      </c>
      <c r="I1319" s="3" t="str">
        <f t="shared" ca="1" si="2"/>
        <v>'Rocky Mountain College',</v>
      </c>
    </row>
    <row r="1320" spans="1:9">
      <c r="A1320" s="1" t="s">
        <v>1318</v>
      </c>
      <c r="B1320" s="3" t="str">
        <f ca="1">IFERROR(__xludf.DUMMYFUNCTION("SPLIT(A1320,"","")"),"US")</f>
        <v>US</v>
      </c>
      <c r="C1320" s="3" t="str">
        <f ca="1">IFERROR(__xludf.DUMMYFUNCTION("""COMPUTED_VALUE"""),"Rocky Mountain College of Art and Design")</f>
        <v>Rocky Mountain College of Art and Design</v>
      </c>
      <c r="D1320" s="4" t="str">
        <f ca="1">IFERROR(__xludf.DUMMYFUNCTION("""COMPUTED_VALUE"""),"http://www.rmcad.edu/")</f>
        <v>http://www.rmcad.edu/</v>
      </c>
      <c r="G1320" s="2" t="str">
        <f t="shared" ca="1" si="0"/>
        <v>Rocky Mountain College of Art and Design</v>
      </c>
      <c r="H1320" s="3" t="str">
        <f t="shared" ca="1" si="1"/>
        <v>Rocky Mountain College of Art and Design</v>
      </c>
      <c r="I1320" s="3" t="str">
        <f t="shared" ca="1" si="2"/>
        <v>'Rocky Mountain College of Art and Design',</v>
      </c>
    </row>
    <row r="1321" spans="1:9">
      <c r="A1321" s="1" t="s">
        <v>1319</v>
      </c>
      <c r="B1321" s="3" t="str">
        <f ca="1">IFERROR(__xludf.DUMMYFUNCTION("SPLIT(A1321,"","")"),"US")</f>
        <v>US</v>
      </c>
      <c r="C1321" s="3" t="str">
        <f ca="1">IFERROR(__xludf.DUMMYFUNCTION("""COMPUTED_VALUE"""),"Rogers State University")</f>
        <v>Rogers State University</v>
      </c>
      <c r="D1321" s="4" t="str">
        <f ca="1">IFERROR(__xludf.DUMMYFUNCTION("""COMPUTED_VALUE"""),"http://www.rsu.edu/")</f>
        <v>http://www.rsu.edu/</v>
      </c>
      <c r="G1321" s="2" t="str">
        <f t="shared" ca="1" si="0"/>
        <v>Rogers State University</v>
      </c>
      <c r="H1321" s="3" t="str">
        <f t="shared" ca="1" si="1"/>
        <v>Rogers State University</v>
      </c>
      <c r="I1321" s="3" t="str">
        <f t="shared" ca="1" si="2"/>
        <v>'Rogers State University',</v>
      </c>
    </row>
    <row r="1322" spans="1:9">
      <c r="A1322" s="1" t="s">
        <v>1320</v>
      </c>
      <c r="B1322" s="3" t="str">
        <f ca="1">IFERROR(__xludf.DUMMYFUNCTION("SPLIT(A1322,"","")"),"US")</f>
        <v>US</v>
      </c>
      <c r="C1322" s="3" t="str">
        <f ca="1">IFERROR(__xludf.DUMMYFUNCTION("""COMPUTED_VALUE"""),"Roger Williams University")</f>
        <v>Roger Williams University</v>
      </c>
      <c r="D1322" s="4" t="str">
        <f ca="1">IFERROR(__xludf.DUMMYFUNCTION("""COMPUTED_VALUE"""),"http://www.rwu.edu/")</f>
        <v>http://www.rwu.edu/</v>
      </c>
      <c r="G1322" s="2" t="str">
        <f t="shared" ca="1" si="0"/>
        <v>Roger Williams University</v>
      </c>
      <c r="H1322" s="3" t="str">
        <f t="shared" ca="1" si="1"/>
        <v>Roger Williams University</v>
      </c>
      <c r="I1322" s="3" t="str">
        <f t="shared" ca="1" si="2"/>
        <v>'Roger Williams University',</v>
      </c>
    </row>
    <row r="1323" spans="1:9">
      <c r="A1323" s="1" t="s">
        <v>1321</v>
      </c>
      <c r="B1323" s="3" t="str">
        <f ca="1">IFERROR(__xludf.DUMMYFUNCTION("SPLIT(A1323,"","")"),"US")</f>
        <v>US</v>
      </c>
      <c r="C1323" s="3" t="str">
        <f ca="1">IFERROR(__xludf.DUMMYFUNCTION("""COMPUTED_VALUE"""),"Rollins College")</f>
        <v>Rollins College</v>
      </c>
      <c r="D1323" s="4" t="str">
        <f ca="1">IFERROR(__xludf.DUMMYFUNCTION("""COMPUTED_VALUE"""),"http://www.rollins.edu/")</f>
        <v>http://www.rollins.edu/</v>
      </c>
      <c r="G1323" s="2" t="str">
        <f t="shared" ca="1" si="0"/>
        <v>Rollins College</v>
      </c>
      <c r="H1323" s="3" t="str">
        <f t="shared" ca="1" si="1"/>
        <v>Rollins College</v>
      </c>
      <c r="I1323" s="3" t="str">
        <f t="shared" ca="1" si="2"/>
        <v>'Rollins College',</v>
      </c>
    </row>
    <row r="1324" spans="1:9">
      <c r="A1324" s="1" t="s">
        <v>1322</v>
      </c>
      <c r="B1324" s="3" t="str">
        <f ca="1">IFERROR(__xludf.DUMMYFUNCTION("SPLIT(A1324,"","")"),"US")</f>
        <v>US</v>
      </c>
      <c r="C1324" s="3" t="str">
        <f ca="1">IFERROR(__xludf.DUMMYFUNCTION("""COMPUTED_VALUE"""),"Roosevelt University")</f>
        <v>Roosevelt University</v>
      </c>
      <c r="D1324" s="4" t="str">
        <f ca="1">IFERROR(__xludf.DUMMYFUNCTION("""COMPUTED_VALUE"""),"http://www.roosevelt.edu/")</f>
        <v>http://www.roosevelt.edu/</v>
      </c>
      <c r="G1324" s="2" t="str">
        <f t="shared" ca="1" si="0"/>
        <v>Roosevelt University</v>
      </c>
      <c r="H1324" s="3" t="str">
        <f t="shared" ca="1" si="1"/>
        <v>Roosevelt University</v>
      </c>
      <c r="I1324" s="3" t="str">
        <f t="shared" ca="1" si="2"/>
        <v>'Roosevelt University',</v>
      </c>
    </row>
    <row r="1325" spans="1:9">
      <c r="A1325" s="1" t="s">
        <v>1323</v>
      </c>
      <c r="B1325" s="3" t="str">
        <f ca="1">IFERROR(__xludf.DUMMYFUNCTION("SPLIT(A1325,"","")"),"US")</f>
        <v>US</v>
      </c>
      <c r="C1325" s="3" t="str">
        <f ca="1">IFERROR(__xludf.DUMMYFUNCTION("""COMPUTED_VALUE"""),"Rose-Hulman Institute of Technology")</f>
        <v>Rose-Hulman Institute of Technology</v>
      </c>
      <c r="D1325" s="4" t="str">
        <f ca="1">IFERROR(__xludf.DUMMYFUNCTION("""COMPUTED_VALUE"""),"http://www.rose-hulman.edu/")</f>
        <v>http://www.rose-hulman.edu/</v>
      </c>
      <c r="G1325" s="2" t="str">
        <f t="shared" ca="1" si="0"/>
        <v>Rose-Hulman Institute of Technology</v>
      </c>
      <c r="H1325" s="3" t="str">
        <f t="shared" ca="1" si="1"/>
        <v>Rose-Hulman Institute of Technology</v>
      </c>
      <c r="I1325" s="3" t="str">
        <f t="shared" ca="1" si="2"/>
        <v>'Rose-Hulman Institute of Technology',</v>
      </c>
    </row>
    <row r="1326" spans="1:9">
      <c r="A1326" s="1" t="s">
        <v>1324</v>
      </c>
      <c r="B1326" s="3" t="str">
        <f ca="1">IFERROR(__xludf.DUMMYFUNCTION("SPLIT(A1326,"","")"),"US")</f>
        <v>US</v>
      </c>
      <c r="C1326" s="3" t="str">
        <f ca="1">IFERROR(__xludf.DUMMYFUNCTION("""COMPUTED_VALUE"""),"Rosemont College")</f>
        <v>Rosemont College</v>
      </c>
      <c r="D1326" s="4" t="str">
        <f ca="1">IFERROR(__xludf.DUMMYFUNCTION("""COMPUTED_VALUE"""),"http://www.rosemont.edu/")</f>
        <v>http://www.rosemont.edu/</v>
      </c>
      <c r="G1326" s="2" t="str">
        <f t="shared" ca="1" si="0"/>
        <v>Rosemont College</v>
      </c>
      <c r="H1326" s="3" t="str">
        <f t="shared" ca="1" si="1"/>
        <v>Rosemont College</v>
      </c>
      <c r="I1326" s="3" t="str">
        <f t="shared" ca="1" si="2"/>
        <v>'Rosemont College',</v>
      </c>
    </row>
    <row r="1327" spans="1:9">
      <c r="A1327" s="1" t="s">
        <v>1325</v>
      </c>
      <c r="B1327" s="3" t="str">
        <f ca="1">IFERROR(__xludf.DUMMYFUNCTION("SPLIT(A1327,"","")"),"US")</f>
        <v>US</v>
      </c>
      <c r="C1327" s="3" t="str">
        <f ca="1">IFERROR(__xludf.DUMMYFUNCTION("""COMPUTED_VALUE"""),"""Ross University")</f>
        <v>"Ross University</v>
      </c>
      <c r="D1327" s="3" t="str">
        <f ca="1">IFERROR(__xludf.DUMMYFUNCTION("""COMPUTED_VALUE""")," School of Medicine""")</f>
        <v xml:space="preserve"> School of Medicine"</v>
      </c>
      <c r="E1327" s="4" t="str">
        <f ca="1">IFERROR(__xludf.DUMMYFUNCTION("""COMPUTED_VALUE"""),"http://www.rossmed.edu/")</f>
        <v>http://www.rossmed.edu/</v>
      </c>
      <c r="G1327" s="2" t="str">
        <f t="shared" ca="1" si="0"/>
        <v>"Ross University</v>
      </c>
      <c r="H1327" s="3" t="str">
        <f t="shared" ca="1" si="1"/>
        <v>Ross University</v>
      </c>
      <c r="I1327" s="3" t="str">
        <f t="shared" ca="1" si="2"/>
        <v>'Ross University',</v>
      </c>
    </row>
    <row r="1328" spans="1:9">
      <c r="A1328" s="1" t="s">
        <v>1326</v>
      </c>
      <c r="B1328" s="3" t="str">
        <f ca="1">IFERROR(__xludf.DUMMYFUNCTION("SPLIT(A1328,"","")"),"US")</f>
        <v>US</v>
      </c>
      <c r="C1328" s="3" t="str">
        <f ca="1">IFERROR(__xludf.DUMMYFUNCTION("""COMPUTED_VALUE"""),"Rowan University")</f>
        <v>Rowan University</v>
      </c>
      <c r="D1328" s="4" t="str">
        <f ca="1">IFERROR(__xludf.DUMMYFUNCTION("""COMPUTED_VALUE"""),"http://www.rowan.edu/")</f>
        <v>http://www.rowan.edu/</v>
      </c>
      <c r="G1328" s="2" t="str">
        <f t="shared" ca="1" si="0"/>
        <v>Rowan University</v>
      </c>
      <c r="H1328" s="3" t="str">
        <f t="shared" ca="1" si="1"/>
        <v>Rowan University</v>
      </c>
      <c r="I1328" s="3" t="str">
        <f t="shared" ca="1" si="2"/>
        <v>'Rowan University',</v>
      </c>
    </row>
    <row r="1329" spans="1:9">
      <c r="A1329" s="1" t="s">
        <v>1327</v>
      </c>
      <c r="B1329" s="3" t="str">
        <f ca="1">IFERROR(__xludf.DUMMYFUNCTION("SPLIT(A1329,"","")"),"US")</f>
        <v>US</v>
      </c>
      <c r="C1329" s="3" t="str">
        <f ca="1">IFERROR(__xludf.DUMMYFUNCTION("""COMPUTED_VALUE"""),"Rush University")</f>
        <v>Rush University</v>
      </c>
      <c r="D1329" s="4" t="str">
        <f ca="1">IFERROR(__xludf.DUMMYFUNCTION("""COMPUTED_VALUE"""),"http://www.rushu.rush.edu/")</f>
        <v>http://www.rushu.rush.edu/</v>
      </c>
      <c r="G1329" s="2" t="str">
        <f t="shared" ca="1" si="0"/>
        <v>Rush University</v>
      </c>
      <c r="H1329" s="3" t="str">
        <f t="shared" ca="1" si="1"/>
        <v>Rush University</v>
      </c>
      <c r="I1329" s="3" t="str">
        <f t="shared" ca="1" si="2"/>
        <v>'Rush University',</v>
      </c>
    </row>
    <row r="1330" spans="1:9">
      <c r="A1330" s="1" t="s">
        <v>1328</v>
      </c>
      <c r="B1330" s="3" t="str">
        <f ca="1">IFERROR(__xludf.DUMMYFUNCTION("SPLIT(A1330,"","")"),"US")</f>
        <v>US</v>
      </c>
      <c r="C1330" s="3" t="str">
        <f ca="1">IFERROR(__xludf.DUMMYFUNCTION("""COMPUTED_VALUE"""),"Russel Sage College")</f>
        <v>Russel Sage College</v>
      </c>
      <c r="D1330" s="4" t="str">
        <f ca="1">IFERROR(__xludf.DUMMYFUNCTION("""COMPUTED_VALUE"""),"http://www.sage.edu/RSC/")</f>
        <v>http://www.sage.edu/RSC/</v>
      </c>
      <c r="G1330" s="2" t="str">
        <f t="shared" ca="1" si="0"/>
        <v>Russel Sage College</v>
      </c>
      <c r="H1330" s="3" t="str">
        <f t="shared" ca="1" si="1"/>
        <v>Russel Sage College</v>
      </c>
      <c r="I1330" s="3" t="str">
        <f t="shared" ca="1" si="2"/>
        <v>'Russel Sage College',</v>
      </c>
    </row>
    <row r="1331" spans="1:9">
      <c r="A1331" s="1" t="s">
        <v>1329</v>
      </c>
      <c r="B1331" s="3" t="str">
        <f ca="1">IFERROR(__xludf.DUMMYFUNCTION("SPLIT(A1331,"","")"),"US")</f>
        <v>US</v>
      </c>
      <c r="C1331" s="3" t="str">
        <f ca="1">IFERROR(__xludf.DUMMYFUNCTION("""COMPUTED_VALUE"""),"Rust College")</f>
        <v>Rust College</v>
      </c>
      <c r="D1331" s="4" t="str">
        <f ca="1">IFERROR(__xludf.DUMMYFUNCTION("""COMPUTED_VALUE"""),"http://www.rustcollege.edu/")</f>
        <v>http://www.rustcollege.edu/</v>
      </c>
      <c r="G1331" s="2" t="str">
        <f t="shared" ca="1" si="0"/>
        <v>Rust College</v>
      </c>
      <c r="H1331" s="3" t="str">
        <f t="shared" ca="1" si="1"/>
        <v>Rust College</v>
      </c>
      <c r="I1331" s="3" t="str">
        <f t="shared" ca="1" si="2"/>
        <v>'Rust College',</v>
      </c>
    </row>
    <row r="1332" spans="1:9">
      <c r="A1332" s="1" t="s">
        <v>1330</v>
      </c>
      <c r="B1332" s="3" t="str">
        <f ca="1">IFERROR(__xludf.DUMMYFUNCTION("SPLIT(A1332,"","")"),"US")</f>
        <v>US</v>
      </c>
      <c r="C1332" s="3" t="str">
        <f ca="1">IFERROR(__xludf.DUMMYFUNCTION("""COMPUTED_VALUE"""),"""Rutgers")</f>
        <v>"Rutgers</v>
      </c>
      <c r="D1332" s="3" t="str">
        <f ca="1">IFERROR(__xludf.DUMMYFUNCTION("""COMPUTED_VALUE""")," The State University of New Jersey""")</f>
        <v xml:space="preserve"> The State University of New Jersey"</v>
      </c>
      <c r="E1332" s="4" t="str">
        <f ca="1">IFERROR(__xludf.DUMMYFUNCTION("""COMPUTED_VALUE"""),"http://www.rutgers.edu/")</f>
        <v>http://www.rutgers.edu/</v>
      </c>
      <c r="G1332" s="2" t="str">
        <f t="shared" ca="1" si="0"/>
        <v>"Rutgers</v>
      </c>
      <c r="H1332" s="3" t="str">
        <f t="shared" ca="1" si="1"/>
        <v>Rutgers</v>
      </c>
      <c r="I1332" s="3" t="str">
        <f t="shared" ca="1" si="2"/>
        <v>'Rutgers',</v>
      </c>
    </row>
    <row r="1333" spans="1:9">
      <c r="A1333" s="1" t="s">
        <v>1331</v>
      </c>
      <c r="B1333" s="3" t="str">
        <f ca="1">IFERROR(__xludf.DUMMYFUNCTION("SPLIT(A1333,"","")"),"US")</f>
        <v>US</v>
      </c>
      <c r="C1333" s="3" t="str">
        <f ca="1">IFERROR(__xludf.DUMMYFUNCTION("""COMPUTED_VALUE"""),"""Rutgers")</f>
        <v>"Rutgers</v>
      </c>
      <c r="D1333" s="3" t="str">
        <f ca="1">IFERROR(__xludf.DUMMYFUNCTION("""COMPUTED_VALUE""")," The State University of New Jersey - Camden""")</f>
        <v xml:space="preserve"> The State University of New Jersey - Camden"</v>
      </c>
      <c r="E1333" s="4" t="str">
        <f ca="1">IFERROR(__xludf.DUMMYFUNCTION("""COMPUTED_VALUE"""),"http://camden-www.rutgers.edu/")</f>
        <v>http://camden-www.rutgers.edu/</v>
      </c>
      <c r="G1333" s="2" t="str">
        <f t="shared" ca="1" si="0"/>
        <v>"Rutgers</v>
      </c>
      <c r="H1333" s="3" t="str">
        <f t="shared" ca="1" si="1"/>
        <v>Rutgers</v>
      </c>
      <c r="I1333" s="3" t="str">
        <f t="shared" ca="1" si="2"/>
        <v>'Rutgers',</v>
      </c>
    </row>
    <row r="1334" spans="1:9">
      <c r="A1334" s="1" t="s">
        <v>1332</v>
      </c>
      <c r="B1334" s="3" t="str">
        <f ca="1">IFERROR(__xludf.DUMMYFUNCTION("SPLIT(A1334,"","")"),"US")</f>
        <v>US</v>
      </c>
      <c r="C1334" s="3" t="str">
        <f ca="1">IFERROR(__xludf.DUMMYFUNCTION("""COMPUTED_VALUE"""),"""Rutgers")</f>
        <v>"Rutgers</v>
      </c>
      <c r="D1334" s="3" t="str">
        <f ca="1">IFERROR(__xludf.DUMMYFUNCTION("""COMPUTED_VALUE""")," The State University of New Jersey - Newark""")</f>
        <v xml:space="preserve"> The State University of New Jersey - Newark"</v>
      </c>
      <c r="E1334" s="4" t="str">
        <f ca="1">IFERROR(__xludf.DUMMYFUNCTION("""COMPUTED_VALUE"""),"http://rutgers-newark.rutgers.edu/")</f>
        <v>http://rutgers-newark.rutgers.edu/</v>
      </c>
      <c r="G1334" s="2" t="str">
        <f t="shared" ca="1" si="0"/>
        <v>"Rutgers</v>
      </c>
      <c r="H1334" s="3" t="str">
        <f t="shared" ca="1" si="1"/>
        <v>Rutgers</v>
      </c>
      <c r="I1334" s="3" t="str">
        <f t="shared" ca="1" si="2"/>
        <v>'Rutgers',</v>
      </c>
    </row>
    <row r="1335" spans="1:9">
      <c r="A1335" s="1" t="s">
        <v>1333</v>
      </c>
      <c r="B1335" s="3" t="str">
        <f ca="1">IFERROR(__xludf.DUMMYFUNCTION("SPLIT(A1335,"","")"),"US")</f>
        <v>US</v>
      </c>
      <c r="C1335" s="3" t="str">
        <f ca="1">IFERROR(__xludf.DUMMYFUNCTION("""COMPUTED_VALUE"""),"Sacred Heart University")</f>
        <v>Sacred Heart University</v>
      </c>
      <c r="D1335" s="4" t="str">
        <f ca="1">IFERROR(__xludf.DUMMYFUNCTION("""COMPUTED_VALUE"""),"http://www.sacredheart.edu/")</f>
        <v>http://www.sacredheart.edu/</v>
      </c>
      <c r="G1335" s="2" t="str">
        <f t="shared" ca="1" si="0"/>
        <v>Sacred Heart University</v>
      </c>
      <c r="H1335" s="3" t="str">
        <f t="shared" ca="1" si="1"/>
        <v>Sacred Heart University</v>
      </c>
      <c r="I1335" s="3" t="str">
        <f t="shared" ca="1" si="2"/>
        <v>'Sacred Heart University',</v>
      </c>
    </row>
    <row r="1336" spans="1:9">
      <c r="A1336" s="1" t="s">
        <v>1334</v>
      </c>
      <c r="B1336" s="3" t="str">
        <f ca="1">IFERROR(__xludf.DUMMYFUNCTION("SPLIT(A1336,"","")"),"US")</f>
        <v>US</v>
      </c>
      <c r="C1336" s="3" t="str">
        <f ca="1">IFERROR(__xludf.DUMMYFUNCTION("""COMPUTED_VALUE"""),"Sage Graduate School")</f>
        <v>Sage Graduate School</v>
      </c>
      <c r="D1336" s="4" t="str">
        <f ca="1">IFERROR(__xludf.DUMMYFUNCTION("""COMPUTED_VALUE"""),"http://www.sage.edu/SGS/")</f>
        <v>http://www.sage.edu/SGS/</v>
      </c>
      <c r="G1336" s="2" t="str">
        <f t="shared" ca="1" si="0"/>
        <v>Sage Graduate School</v>
      </c>
      <c r="H1336" s="3" t="str">
        <f t="shared" ca="1" si="1"/>
        <v>Sage Graduate School</v>
      </c>
      <c r="I1336" s="3" t="str">
        <f t="shared" ca="1" si="2"/>
        <v>'Sage Graduate School',</v>
      </c>
    </row>
    <row r="1337" spans="1:9">
      <c r="A1337" s="1" t="s">
        <v>1335</v>
      </c>
      <c r="B1337" s="3" t="str">
        <f ca="1">IFERROR(__xludf.DUMMYFUNCTION("SPLIT(A1337,"","")"),"US")</f>
        <v>US</v>
      </c>
      <c r="C1337" s="3" t="str">
        <f ca="1">IFERROR(__xludf.DUMMYFUNCTION("""COMPUTED_VALUE"""),"Saginaw Valley State University")</f>
        <v>Saginaw Valley State University</v>
      </c>
      <c r="D1337" s="4" t="str">
        <f ca="1">IFERROR(__xludf.DUMMYFUNCTION("""COMPUTED_VALUE"""),"http://www.svsu.edu/")</f>
        <v>http://www.svsu.edu/</v>
      </c>
      <c r="G1337" s="2" t="str">
        <f t="shared" ca="1" si="0"/>
        <v>Saginaw Valley State University</v>
      </c>
      <c r="H1337" s="3" t="str">
        <f t="shared" ca="1" si="1"/>
        <v>Saginaw Valley State University</v>
      </c>
      <c r="I1337" s="3" t="str">
        <f t="shared" ca="1" si="2"/>
        <v>'Saginaw Valley State University',</v>
      </c>
    </row>
    <row r="1338" spans="1:9">
      <c r="A1338" s="1" t="s">
        <v>1336</v>
      </c>
      <c r="B1338" s="3" t="str">
        <f ca="1">IFERROR(__xludf.DUMMYFUNCTION("SPLIT(A1338,"","")"),"US")</f>
        <v>US</v>
      </c>
      <c r="C1338" s="3" t="str">
        <f ca="1">IFERROR(__xludf.DUMMYFUNCTION("""COMPUTED_VALUE"""),"Salem College")</f>
        <v>Salem College</v>
      </c>
      <c r="D1338" s="4" t="str">
        <f ca="1">IFERROR(__xludf.DUMMYFUNCTION("""COMPUTED_VALUE"""),"http://www.salem.edu/")</f>
        <v>http://www.salem.edu/</v>
      </c>
      <c r="G1338" s="2" t="str">
        <f t="shared" ca="1" si="0"/>
        <v>Salem College</v>
      </c>
      <c r="H1338" s="3" t="str">
        <f t="shared" ca="1" si="1"/>
        <v>Salem College</v>
      </c>
      <c r="I1338" s="3" t="str">
        <f t="shared" ca="1" si="2"/>
        <v>'Salem College',</v>
      </c>
    </row>
    <row r="1339" spans="1:9">
      <c r="A1339" s="1" t="s">
        <v>1337</v>
      </c>
      <c r="B1339" s="3" t="str">
        <f ca="1">IFERROR(__xludf.DUMMYFUNCTION("SPLIT(A1339,"","")"),"US")</f>
        <v>US</v>
      </c>
      <c r="C1339" s="3" t="str">
        <f ca="1">IFERROR(__xludf.DUMMYFUNCTION("""COMPUTED_VALUE"""),"Salem International University")</f>
        <v>Salem International University</v>
      </c>
      <c r="D1339" s="4" t="str">
        <f ca="1">IFERROR(__xludf.DUMMYFUNCTION("""COMPUTED_VALUE"""),"http://www.salemiu.edu/")</f>
        <v>http://www.salemiu.edu/</v>
      </c>
      <c r="G1339" s="2" t="str">
        <f t="shared" ca="1" si="0"/>
        <v>Salem International University</v>
      </c>
      <c r="H1339" s="3" t="str">
        <f t="shared" ca="1" si="1"/>
        <v>Salem International University</v>
      </c>
      <c r="I1339" s="3" t="str">
        <f t="shared" ca="1" si="2"/>
        <v>'Salem International University',</v>
      </c>
    </row>
    <row r="1340" spans="1:9">
      <c r="A1340" s="1" t="s">
        <v>1338</v>
      </c>
      <c r="B1340" s="3" t="str">
        <f ca="1">IFERROR(__xludf.DUMMYFUNCTION("SPLIT(A1340,"","")"),"US")</f>
        <v>US</v>
      </c>
      <c r="C1340" s="3" t="str">
        <f ca="1">IFERROR(__xludf.DUMMYFUNCTION("""COMPUTED_VALUE"""),"Salem State College")</f>
        <v>Salem State College</v>
      </c>
      <c r="D1340" s="4" t="str">
        <f ca="1">IFERROR(__xludf.DUMMYFUNCTION("""COMPUTED_VALUE"""),"http://www.salem.mass.edu/")</f>
        <v>http://www.salem.mass.edu/</v>
      </c>
      <c r="G1340" s="2" t="str">
        <f t="shared" ca="1" si="0"/>
        <v>Salem State College</v>
      </c>
      <c r="H1340" s="3" t="str">
        <f t="shared" ca="1" si="1"/>
        <v>Salem State College</v>
      </c>
      <c r="I1340" s="3" t="str">
        <f t="shared" ca="1" si="2"/>
        <v>'Salem State College',</v>
      </c>
    </row>
    <row r="1341" spans="1:9">
      <c r="A1341" s="1" t="s">
        <v>1339</v>
      </c>
      <c r="B1341" s="3" t="str">
        <f ca="1">IFERROR(__xludf.DUMMYFUNCTION("SPLIT(A1341,"","")"),"US")</f>
        <v>US</v>
      </c>
      <c r="C1341" s="3" t="str">
        <f ca="1">IFERROR(__xludf.DUMMYFUNCTION("""COMPUTED_VALUE"""),"Salem Teikyo University")</f>
        <v>Salem Teikyo University</v>
      </c>
      <c r="D1341" s="4" t="str">
        <f ca="1">IFERROR(__xludf.DUMMYFUNCTION("""COMPUTED_VALUE"""),"http://www.salem-teikyo.wvnet.edu/")</f>
        <v>http://www.salem-teikyo.wvnet.edu/</v>
      </c>
      <c r="G1341" s="2" t="str">
        <f t="shared" ca="1" si="0"/>
        <v>Salem Teikyo University</v>
      </c>
      <c r="H1341" s="3" t="str">
        <f t="shared" ca="1" si="1"/>
        <v>Salem Teikyo University</v>
      </c>
      <c r="I1341" s="3" t="str">
        <f t="shared" ca="1" si="2"/>
        <v>'Salem Teikyo University',</v>
      </c>
    </row>
    <row r="1342" spans="1:9">
      <c r="A1342" s="1" t="s">
        <v>1340</v>
      </c>
      <c r="B1342" s="3" t="str">
        <f ca="1">IFERROR(__xludf.DUMMYFUNCTION("SPLIT(A1342,"","")"),"US")</f>
        <v>US</v>
      </c>
      <c r="C1342" s="3" t="str">
        <f ca="1">IFERROR(__xludf.DUMMYFUNCTION("""COMPUTED_VALUE"""),"Salisbury State University")</f>
        <v>Salisbury State University</v>
      </c>
      <c r="D1342" s="4" t="str">
        <f ca="1">IFERROR(__xludf.DUMMYFUNCTION("""COMPUTED_VALUE"""),"http://www.ssu.edu/")</f>
        <v>http://www.ssu.edu/</v>
      </c>
      <c r="G1342" s="2" t="str">
        <f t="shared" ca="1" si="0"/>
        <v>Salisbury State University</v>
      </c>
      <c r="H1342" s="3" t="str">
        <f t="shared" ca="1" si="1"/>
        <v>Salisbury State University</v>
      </c>
      <c r="I1342" s="3" t="str">
        <f t="shared" ca="1" si="2"/>
        <v>'Salisbury State University',</v>
      </c>
    </row>
    <row r="1343" spans="1:9">
      <c r="A1343" s="1" t="s">
        <v>1341</v>
      </c>
      <c r="B1343" s="3" t="str">
        <f ca="1">IFERROR(__xludf.DUMMYFUNCTION("SPLIT(A1343,"","")"),"US")</f>
        <v>US</v>
      </c>
      <c r="C1343" s="3" t="str">
        <f ca="1">IFERROR(__xludf.DUMMYFUNCTION("""COMPUTED_VALUE"""),"Salve Regina University")</f>
        <v>Salve Regina University</v>
      </c>
      <c r="D1343" s="4" t="str">
        <f ca="1">IFERROR(__xludf.DUMMYFUNCTION("""COMPUTED_VALUE"""),"http://www.salve.edu/")</f>
        <v>http://www.salve.edu/</v>
      </c>
      <c r="G1343" s="2" t="str">
        <f t="shared" ca="1" si="0"/>
        <v>Salve Regina University</v>
      </c>
      <c r="H1343" s="3" t="str">
        <f t="shared" ca="1" si="1"/>
        <v>Salve Regina University</v>
      </c>
      <c r="I1343" s="3" t="str">
        <f t="shared" ca="1" si="2"/>
        <v>'Salve Regina University',</v>
      </c>
    </row>
    <row r="1344" spans="1:9">
      <c r="A1344" s="1" t="s">
        <v>1342</v>
      </c>
      <c r="B1344" s="3" t="str">
        <f ca="1">IFERROR(__xludf.DUMMYFUNCTION("SPLIT(A1344,"","")"),"US")</f>
        <v>US</v>
      </c>
      <c r="C1344" s="3" t="str">
        <f ca="1">IFERROR(__xludf.DUMMYFUNCTION("""COMPUTED_VALUE"""),"Samford University")</f>
        <v>Samford University</v>
      </c>
      <c r="D1344" s="4" t="str">
        <f ca="1">IFERROR(__xludf.DUMMYFUNCTION("""COMPUTED_VALUE"""),"http://www.samford.edu/")</f>
        <v>http://www.samford.edu/</v>
      </c>
      <c r="G1344" s="2" t="str">
        <f t="shared" ca="1" si="0"/>
        <v>Samford University</v>
      </c>
      <c r="H1344" s="3" t="str">
        <f t="shared" ca="1" si="1"/>
        <v>Samford University</v>
      </c>
      <c r="I1344" s="3" t="str">
        <f t="shared" ca="1" si="2"/>
        <v>'Samford University',</v>
      </c>
    </row>
    <row r="1345" spans="1:9">
      <c r="A1345" s="1" t="s">
        <v>1343</v>
      </c>
      <c r="B1345" s="3" t="str">
        <f ca="1">IFERROR(__xludf.DUMMYFUNCTION("SPLIT(A1345,"","")"),"US")</f>
        <v>US</v>
      </c>
      <c r="C1345" s="3" t="str">
        <f ca="1">IFERROR(__xludf.DUMMYFUNCTION("""COMPUTED_VALUE"""),"Sam Houston State University")</f>
        <v>Sam Houston State University</v>
      </c>
      <c r="D1345" s="4" t="str">
        <f ca="1">IFERROR(__xludf.DUMMYFUNCTION("""COMPUTED_VALUE"""),"http://www.shsu.edu/")</f>
        <v>http://www.shsu.edu/</v>
      </c>
      <c r="G1345" s="2" t="str">
        <f t="shared" ca="1" si="0"/>
        <v>Sam Houston State University</v>
      </c>
      <c r="H1345" s="3" t="str">
        <f t="shared" ca="1" si="1"/>
        <v>Sam Houston State University</v>
      </c>
      <c r="I1345" s="3" t="str">
        <f t="shared" ca="1" si="2"/>
        <v>'Sam Houston State University',</v>
      </c>
    </row>
    <row r="1346" spans="1:9">
      <c r="A1346" s="1" t="s">
        <v>1344</v>
      </c>
      <c r="B1346" s="3" t="str">
        <f ca="1">IFERROR(__xludf.DUMMYFUNCTION("SPLIT(A1346,"","")"),"US")</f>
        <v>US</v>
      </c>
      <c r="C1346" s="3" t="str">
        <f ca="1">IFERROR(__xludf.DUMMYFUNCTION("""COMPUTED_VALUE"""),"Samuel Merritt College")</f>
        <v>Samuel Merritt College</v>
      </c>
      <c r="D1346" s="4" t="str">
        <f ca="1">IFERROR(__xludf.DUMMYFUNCTION("""COMPUTED_VALUE"""),"http://www.samuelmerritt.edu/")</f>
        <v>http://www.samuelmerritt.edu/</v>
      </c>
      <c r="G1346" s="2" t="str">
        <f t="shared" ca="1" si="0"/>
        <v>Samuel Merritt College</v>
      </c>
      <c r="H1346" s="3" t="str">
        <f t="shared" ca="1" si="1"/>
        <v>Samuel Merritt College</v>
      </c>
      <c r="I1346" s="3" t="str">
        <f t="shared" ca="1" si="2"/>
        <v>'Samuel Merritt College',</v>
      </c>
    </row>
    <row r="1347" spans="1:9">
      <c r="A1347" s="1" t="s">
        <v>1345</v>
      </c>
      <c r="B1347" s="3" t="str">
        <f ca="1">IFERROR(__xludf.DUMMYFUNCTION("SPLIT(A1347,"","")"),"US")</f>
        <v>US</v>
      </c>
      <c r="C1347" s="3" t="str">
        <f ca="1">IFERROR(__xludf.DUMMYFUNCTION("""COMPUTED_VALUE"""),"San Diego State University")</f>
        <v>San Diego State University</v>
      </c>
      <c r="D1347" s="4" t="str">
        <f ca="1">IFERROR(__xludf.DUMMYFUNCTION("""COMPUTED_VALUE"""),"http://www.sdsu.edu/")</f>
        <v>http://www.sdsu.edu/</v>
      </c>
      <c r="G1347" s="2" t="str">
        <f t="shared" ca="1" si="0"/>
        <v>San Diego State University</v>
      </c>
      <c r="H1347" s="3" t="str">
        <f t="shared" ca="1" si="1"/>
        <v>San Diego State University</v>
      </c>
      <c r="I1347" s="3" t="str">
        <f t="shared" ca="1" si="2"/>
        <v>'San Diego State University',</v>
      </c>
    </row>
    <row r="1348" spans="1:9">
      <c r="A1348" s="1" t="s">
        <v>1346</v>
      </c>
      <c r="B1348" s="3" t="str">
        <f ca="1">IFERROR(__xludf.DUMMYFUNCTION("SPLIT(A1348,"","")"),"US")</f>
        <v>US</v>
      </c>
      <c r="C1348" s="3" t="str">
        <f ca="1">IFERROR(__xludf.DUMMYFUNCTION("""COMPUTED_VALUE"""),"San Diego University for Integrative Studies")</f>
        <v>San Diego University for Integrative Studies</v>
      </c>
      <c r="D1348" s="4" t="str">
        <f ca="1">IFERROR(__xludf.DUMMYFUNCTION("""COMPUTED_VALUE"""),"http://www.sduis.edu/")</f>
        <v>http://www.sduis.edu/</v>
      </c>
      <c r="G1348" s="2" t="str">
        <f t="shared" ca="1" si="0"/>
        <v>San Diego University for Integrative Studies</v>
      </c>
      <c r="H1348" s="3" t="str">
        <f t="shared" ca="1" si="1"/>
        <v>San Diego University for Integrative Studies</v>
      </c>
      <c r="I1348" s="3" t="str">
        <f t="shared" ca="1" si="2"/>
        <v>'San Diego University for Integrative Studies',</v>
      </c>
    </row>
    <row r="1349" spans="1:9">
      <c r="A1349" s="1" t="s">
        <v>1347</v>
      </c>
      <c r="B1349" s="3" t="str">
        <f ca="1">IFERROR(__xludf.DUMMYFUNCTION("SPLIT(A1349,"","")"),"US")</f>
        <v>US</v>
      </c>
      <c r="C1349" s="3" t="str">
        <f ca="1">IFERROR(__xludf.DUMMYFUNCTION("""COMPUTED_VALUE"""),"Sanford-Brown Institute")</f>
        <v>Sanford-Brown Institute</v>
      </c>
      <c r="D1349" s="4" t="str">
        <f ca="1">IFERROR(__xludf.DUMMYFUNCTION("""COMPUTED_VALUE"""),"http://www.sbjacksonville.com/")</f>
        <v>http://www.sbjacksonville.com/</v>
      </c>
      <c r="G1349" s="2" t="str">
        <f t="shared" ca="1" si="0"/>
        <v>Sanford-Brown Institute</v>
      </c>
      <c r="H1349" s="3" t="str">
        <f t="shared" ca="1" si="1"/>
        <v>Sanford-Brown Institute</v>
      </c>
      <c r="I1349" s="3" t="str">
        <f t="shared" ca="1" si="2"/>
        <v>'Sanford-Brown Institute',</v>
      </c>
    </row>
    <row r="1350" spans="1:9">
      <c r="A1350" s="1" t="s">
        <v>1348</v>
      </c>
      <c r="B1350" s="3" t="str">
        <f ca="1">IFERROR(__xludf.DUMMYFUNCTION("SPLIT(A1350,"","")"),"US")</f>
        <v>US</v>
      </c>
      <c r="C1350" s="3" t="str">
        <f ca="1">IFERROR(__xludf.DUMMYFUNCTION("""COMPUTED_VALUE"""),"San Francisco Art Institute")</f>
        <v>San Francisco Art Institute</v>
      </c>
      <c r="D1350" s="4" t="str">
        <f ca="1">IFERROR(__xludf.DUMMYFUNCTION("""COMPUTED_VALUE"""),"http://www.sfai.edu/")</f>
        <v>http://www.sfai.edu/</v>
      </c>
      <c r="G1350" s="2" t="str">
        <f t="shared" ca="1" si="0"/>
        <v>San Francisco Art Institute</v>
      </c>
      <c r="H1350" s="3" t="str">
        <f t="shared" ca="1" si="1"/>
        <v>San Francisco Art Institute</v>
      </c>
      <c r="I1350" s="3" t="str">
        <f t="shared" ca="1" si="2"/>
        <v>'San Francisco Art Institute',</v>
      </c>
    </row>
    <row r="1351" spans="1:9">
      <c r="A1351" s="1" t="s">
        <v>1349</v>
      </c>
      <c r="B1351" s="3" t="str">
        <f ca="1">IFERROR(__xludf.DUMMYFUNCTION("SPLIT(A1351,"","")"),"US")</f>
        <v>US</v>
      </c>
      <c r="C1351" s="3" t="str">
        <f ca="1">IFERROR(__xludf.DUMMYFUNCTION("""COMPUTED_VALUE"""),"San Francisco Conservatory of Music")</f>
        <v>San Francisco Conservatory of Music</v>
      </c>
      <c r="D1351" s="4" t="str">
        <f ca="1">IFERROR(__xludf.DUMMYFUNCTION("""COMPUTED_VALUE"""),"http://www.sfcm.edu/")</f>
        <v>http://www.sfcm.edu/</v>
      </c>
      <c r="G1351" s="2" t="str">
        <f t="shared" ca="1" si="0"/>
        <v>San Francisco Conservatory of Music</v>
      </c>
      <c r="H1351" s="3" t="str">
        <f t="shared" ca="1" si="1"/>
        <v>San Francisco Conservatory of Music</v>
      </c>
      <c r="I1351" s="3" t="str">
        <f t="shared" ca="1" si="2"/>
        <v>'San Francisco Conservatory of Music',</v>
      </c>
    </row>
    <row r="1352" spans="1:9">
      <c r="A1352" s="1" t="s">
        <v>1350</v>
      </c>
      <c r="B1352" s="3" t="str">
        <f ca="1">IFERROR(__xludf.DUMMYFUNCTION("SPLIT(A1352,"","")"),"US")</f>
        <v>US</v>
      </c>
      <c r="C1352" s="3" t="str">
        <f ca="1">IFERROR(__xludf.DUMMYFUNCTION("""COMPUTED_VALUE"""),"San Francisco State University")</f>
        <v>San Francisco State University</v>
      </c>
      <c r="D1352" s="4" t="str">
        <f ca="1">IFERROR(__xludf.DUMMYFUNCTION("""COMPUTED_VALUE"""),"http://www.sfsu.edu/")</f>
        <v>http://www.sfsu.edu/</v>
      </c>
      <c r="G1352" s="2" t="str">
        <f t="shared" ca="1" si="0"/>
        <v>San Francisco State University</v>
      </c>
      <c r="H1352" s="3" t="str">
        <f t="shared" ca="1" si="1"/>
        <v>San Francisco State University</v>
      </c>
      <c r="I1352" s="3" t="str">
        <f t="shared" ca="1" si="2"/>
        <v>'San Francisco State University',</v>
      </c>
    </row>
    <row r="1353" spans="1:9">
      <c r="A1353" s="1" t="s">
        <v>1351</v>
      </c>
      <c r="B1353" s="3" t="str">
        <f ca="1">IFERROR(__xludf.DUMMYFUNCTION("SPLIT(A1353,"","")"),"US")</f>
        <v>US</v>
      </c>
      <c r="C1353" s="3" t="str">
        <f ca="1">IFERROR(__xludf.DUMMYFUNCTION("""COMPUTED_VALUE"""),"San Joaquin College of Law")</f>
        <v>San Joaquin College of Law</v>
      </c>
      <c r="D1353" s="4" t="str">
        <f ca="1">IFERROR(__xludf.DUMMYFUNCTION("""COMPUTED_VALUE"""),"http://www.sjcl.org/")</f>
        <v>http://www.sjcl.org/</v>
      </c>
      <c r="G1353" s="2" t="str">
        <f t="shared" ca="1" si="0"/>
        <v>San Joaquin College of Law</v>
      </c>
      <c r="H1353" s="3" t="str">
        <f t="shared" ca="1" si="1"/>
        <v>San Joaquin College of Law</v>
      </c>
      <c r="I1353" s="3" t="str">
        <f t="shared" ca="1" si="2"/>
        <v>'San Joaquin College of Law',</v>
      </c>
    </row>
    <row r="1354" spans="1:9">
      <c r="A1354" s="1" t="s">
        <v>1352</v>
      </c>
      <c r="B1354" s="3" t="str">
        <f ca="1">IFERROR(__xludf.DUMMYFUNCTION("SPLIT(A1354,"","")"),"US")</f>
        <v>US</v>
      </c>
      <c r="C1354" s="3" t="str">
        <f ca="1">IFERROR(__xludf.DUMMYFUNCTION("""COMPUTED_VALUE"""),"San Jose Christian College")</f>
        <v>San Jose Christian College</v>
      </c>
      <c r="D1354" s="4" t="str">
        <f ca="1">IFERROR(__xludf.DUMMYFUNCTION("""COMPUTED_VALUE"""),"http://www.sjchristiancol.edu/")</f>
        <v>http://www.sjchristiancol.edu/</v>
      </c>
      <c r="G1354" s="2" t="str">
        <f t="shared" ca="1" si="0"/>
        <v>San Jose Christian College</v>
      </c>
      <c r="H1354" s="3" t="str">
        <f t="shared" ca="1" si="1"/>
        <v>San Jose Christian College</v>
      </c>
      <c r="I1354" s="3" t="str">
        <f t="shared" ca="1" si="2"/>
        <v>'San Jose Christian College',</v>
      </c>
    </row>
    <row r="1355" spans="1:9">
      <c r="A1355" s="1" t="s">
        <v>1353</v>
      </c>
      <c r="B1355" s="3" t="str">
        <f ca="1">IFERROR(__xludf.DUMMYFUNCTION("SPLIT(A1355,"","")"),"US")</f>
        <v>US</v>
      </c>
      <c r="C1355" s="3" t="str">
        <f ca="1">IFERROR(__xludf.DUMMYFUNCTION("""COMPUTED_VALUE"""),"San Jose State University")</f>
        <v>San Jose State University</v>
      </c>
      <c r="D1355" s="4" t="str">
        <f ca="1">IFERROR(__xludf.DUMMYFUNCTION("""COMPUTED_VALUE"""),"http://www.sjsu.edu/")</f>
        <v>http://www.sjsu.edu/</v>
      </c>
      <c r="G1355" s="2" t="str">
        <f t="shared" ca="1" si="0"/>
        <v>San Jose State University</v>
      </c>
      <c r="H1355" s="3" t="str">
        <f t="shared" ca="1" si="1"/>
        <v>San Jose State University</v>
      </c>
      <c r="I1355" s="3" t="str">
        <f t="shared" ca="1" si="2"/>
        <v>'San Jose State University',</v>
      </c>
    </row>
    <row r="1356" spans="1:9">
      <c r="A1356" s="1" t="s">
        <v>1354</v>
      </c>
      <c r="B1356" s="3" t="str">
        <f ca="1">IFERROR(__xludf.DUMMYFUNCTION("SPLIT(A1356,"","")"),"US")</f>
        <v>US</v>
      </c>
      <c r="C1356" s="3" t="str">
        <f ca="1">IFERROR(__xludf.DUMMYFUNCTION("""COMPUTED_VALUE"""),"Santa Clara University")</f>
        <v>Santa Clara University</v>
      </c>
      <c r="D1356" s="4" t="str">
        <f ca="1">IFERROR(__xludf.DUMMYFUNCTION("""COMPUTED_VALUE"""),"http://www.scu.edu/")</f>
        <v>http://www.scu.edu/</v>
      </c>
      <c r="G1356" s="2" t="str">
        <f t="shared" ca="1" si="0"/>
        <v>Santa Clara University</v>
      </c>
      <c r="H1356" s="3" t="str">
        <f t="shared" ca="1" si="1"/>
        <v>Santa Clara University</v>
      </c>
      <c r="I1356" s="3" t="str">
        <f t="shared" ca="1" si="2"/>
        <v>'Santa Clara University',</v>
      </c>
    </row>
    <row r="1357" spans="1:9">
      <c r="A1357" s="1" t="s">
        <v>1355</v>
      </c>
      <c r="B1357" s="3" t="str">
        <f ca="1">IFERROR(__xludf.DUMMYFUNCTION("SPLIT(A1357,"","")"),"US")</f>
        <v>US</v>
      </c>
      <c r="C1357" s="3" t="str">
        <f ca="1">IFERROR(__xludf.DUMMYFUNCTION("""COMPUTED_VALUE"""),"Sarah Lawrence College")</f>
        <v>Sarah Lawrence College</v>
      </c>
      <c r="D1357" s="4" t="str">
        <f ca="1">IFERROR(__xludf.DUMMYFUNCTION("""COMPUTED_VALUE"""),"http://www.slc.edu/")</f>
        <v>http://www.slc.edu/</v>
      </c>
      <c r="G1357" s="2" t="str">
        <f t="shared" ca="1" si="0"/>
        <v>Sarah Lawrence College</v>
      </c>
      <c r="H1357" s="3" t="str">
        <f t="shared" ca="1" si="1"/>
        <v>Sarah Lawrence College</v>
      </c>
      <c r="I1357" s="3" t="str">
        <f t="shared" ca="1" si="2"/>
        <v>'Sarah Lawrence College',</v>
      </c>
    </row>
    <row r="1358" spans="1:9">
      <c r="A1358" s="1" t="s">
        <v>1356</v>
      </c>
      <c r="B1358" s="3" t="str">
        <f ca="1">IFERROR(__xludf.DUMMYFUNCTION("SPLIT(A1358,"","")"),"US")</f>
        <v>US</v>
      </c>
      <c r="C1358" s="3" t="str">
        <f ca="1">IFERROR(__xludf.DUMMYFUNCTION("""COMPUTED_VALUE"""),"Savannah College of Art and Design")</f>
        <v>Savannah College of Art and Design</v>
      </c>
      <c r="D1358" s="4" t="str">
        <f ca="1">IFERROR(__xludf.DUMMYFUNCTION("""COMPUTED_VALUE"""),"http://www.scad.edu/")</f>
        <v>http://www.scad.edu/</v>
      </c>
      <c r="G1358" s="2" t="str">
        <f t="shared" ca="1" si="0"/>
        <v>Savannah College of Art and Design</v>
      </c>
      <c r="H1358" s="3" t="str">
        <f t="shared" ca="1" si="1"/>
        <v>Savannah College of Art and Design</v>
      </c>
      <c r="I1358" s="3" t="str">
        <f t="shared" ca="1" si="2"/>
        <v>'Savannah College of Art and Design',</v>
      </c>
    </row>
    <row r="1359" spans="1:9">
      <c r="A1359" s="1" t="s">
        <v>1357</v>
      </c>
      <c r="B1359" s="3" t="str">
        <f ca="1">IFERROR(__xludf.DUMMYFUNCTION("SPLIT(A1359,"","")"),"US")</f>
        <v>US</v>
      </c>
      <c r="C1359" s="3" t="str">
        <f ca="1">IFERROR(__xludf.DUMMYFUNCTION("""COMPUTED_VALUE"""),"Savannah State University")</f>
        <v>Savannah State University</v>
      </c>
      <c r="D1359" s="4" t="str">
        <f ca="1">IFERROR(__xludf.DUMMYFUNCTION("""COMPUTED_VALUE"""),"http://www.savstate.edu/")</f>
        <v>http://www.savstate.edu/</v>
      </c>
      <c r="G1359" s="2" t="str">
        <f t="shared" ca="1" si="0"/>
        <v>Savannah State University</v>
      </c>
      <c r="H1359" s="3" t="str">
        <f t="shared" ca="1" si="1"/>
        <v>Savannah State University</v>
      </c>
      <c r="I1359" s="3" t="str">
        <f t="shared" ca="1" si="2"/>
        <v>'Savannah State University',</v>
      </c>
    </row>
    <row r="1360" spans="1:9">
      <c r="A1360" s="1" t="s">
        <v>1358</v>
      </c>
      <c r="B1360" s="3" t="str">
        <f ca="1">IFERROR(__xludf.DUMMYFUNCTION("SPLIT(A1360,"","")"),"US")</f>
        <v>US</v>
      </c>
      <c r="C1360" s="3" t="str">
        <f ca="1">IFERROR(__xludf.DUMMYFUNCTION("""COMPUTED_VALUE"""),"Saybrook Institute")</f>
        <v>Saybrook Institute</v>
      </c>
      <c r="D1360" s="4" t="str">
        <f ca="1">IFERROR(__xludf.DUMMYFUNCTION("""COMPUTED_VALUE"""),"http://www.saybrook.org/")</f>
        <v>http://www.saybrook.org/</v>
      </c>
      <c r="G1360" s="2" t="str">
        <f t="shared" ca="1" si="0"/>
        <v>Saybrook Institute</v>
      </c>
      <c r="H1360" s="3" t="str">
        <f t="shared" ca="1" si="1"/>
        <v>Saybrook Institute</v>
      </c>
      <c r="I1360" s="3" t="str">
        <f t="shared" ca="1" si="2"/>
        <v>'Saybrook Institute',</v>
      </c>
    </row>
    <row r="1361" spans="1:9">
      <c r="A1361" s="1" t="s">
        <v>1359</v>
      </c>
      <c r="B1361" s="3" t="str">
        <f ca="1">IFERROR(__xludf.DUMMYFUNCTION("SPLIT(A1361,"","")"),"US")</f>
        <v>US</v>
      </c>
      <c r="C1361" s="3" t="str">
        <f ca="1">IFERROR(__xludf.DUMMYFUNCTION("""COMPUTED_VALUE"""),"Schiller International University")</f>
        <v>Schiller International University</v>
      </c>
      <c r="D1361" s="4" t="str">
        <f ca="1">IFERROR(__xludf.DUMMYFUNCTION("""COMPUTED_VALUE"""),"http://www.schiller.edu/")</f>
        <v>http://www.schiller.edu/</v>
      </c>
      <c r="G1361" s="2" t="str">
        <f t="shared" ca="1" si="0"/>
        <v>Schiller International University</v>
      </c>
      <c r="H1361" s="3" t="str">
        <f t="shared" ca="1" si="1"/>
        <v>Schiller International University</v>
      </c>
      <c r="I1361" s="3" t="str">
        <f t="shared" ca="1" si="2"/>
        <v>'Schiller International University',</v>
      </c>
    </row>
    <row r="1362" spans="1:9">
      <c r="A1362" s="1" t="s">
        <v>1360</v>
      </c>
      <c r="B1362" s="3" t="str">
        <f ca="1">IFERROR(__xludf.DUMMYFUNCTION("SPLIT(A1362,"","")"),"US")</f>
        <v>US</v>
      </c>
      <c r="C1362" s="3" t="str">
        <f ca="1">IFERROR(__xludf.DUMMYFUNCTION("""COMPUTED_VALUE"""),"Scholl College of Podiatric Medicine")</f>
        <v>Scholl College of Podiatric Medicine</v>
      </c>
      <c r="D1362" s="4" t="str">
        <f ca="1">IFERROR(__xludf.DUMMYFUNCTION("""COMPUTED_VALUE"""),"http://www.scholl.edu/")</f>
        <v>http://www.scholl.edu/</v>
      </c>
      <c r="G1362" s="2" t="str">
        <f t="shared" ca="1" si="0"/>
        <v>Scholl College of Podiatric Medicine</v>
      </c>
      <c r="H1362" s="3" t="str">
        <f t="shared" ca="1" si="1"/>
        <v>Scholl College of Podiatric Medicine</v>
      </c>
      <c r="I1362" s="3" t="str">
        <f t="shared" ca="1" si="2"/>
        <v>'Scholl College of Podiatric Medicine',</v>
      </c>
    </row>
    <row r="1363" spans="1:9">
      <c r="A1363" s="1" t="s">
        <v>1361</v>
      </c>
      <c r="B1363" s="3" t="str">
        <f ca="1">IFERROR(__xludf.DUMMYFUNCTION("SPLIT(A1363,"","")"),"US")</f>
        <v>US</v>
      </c>
      <c r="C1363" s="3" t="str">
        <f ca="1">IFERROR(__xludf.DUMMYFUNCTION("""COMPUTED_VALUE"""),"School for International Training")</f>
        <v>School for International Training</v>
      </c>
      <c r="D1363" s="4" t="str">
        <f ca="1">IFERROR(__xludf.DUMMYFUNCTION("""COMPUTED_VALUE"""),"http://www.sit.edu/")</f>
        <v>http://www.sit.edu/</v>
      </c>
      <c r="G1363" s="2" t="str">
        <f t="shared" ca="1" si="0"/>
        <v>School for International Training</v>
      </c>
      <c r="H1363" s="3" t="str">
        <f t="shared" ca="1" si="1"/>
        <v>School for International Training</v>
      </c>
      <c r="I1363" s="3" t="str">
        <f t="shared" ca="1" si="2"/>
        <v>'School for International Training',</v>
      </c>
    </row>
    <row r="1364" spans="1:9">
      <c r="A1364" s="1" t="s">
        <v>1362</v>
      </c>
      <c r="B1364" s="3" t="str">
        <f ca="1">IFERROR(__xludf.DUMMYFUNCTION("SPLIT(A1364,"","")"),"US")</f>
        <v>US</v>
      </c>
      <c r="C1364" s="3" t="str">
        <f ca="1">IFERROR(__xludf.DUMMYFUNCTION("""COMPUTED_VALUE"""),"School of the Museum of Fine Arts")</f>
        <v>School of the Museum of Fine Arts</v>
      </c>
      <c r="D1364" s="4" t="str">
        <f ca="1">IFERROR(__xludf.DUMMYFUNCTION("""COMPUTED_VALUE"""),"http://www.smfa.edu/")</f>
        <v>http://www.smfa.edu/</v>
      </c>
      <c r="G1364" s="2" t="str">
        <f t="shared" ca="1" si="0"/>
        <v>School of the Museum of Fine Arts</v>
      </c>
      <c r="H1364" s="3" t="str">
        <f t="shared" ca="1" si="1"/>
        <v>School of the Museum of Fine Arts</v>
      </c>
      <c r="I1364" s="3" t="str">
        <f t="shared" ca="1" si="2"/>
        <v>'School of the Museum of Fine Arts',</v>
      </c>
    </row>
    <row r="1365" spans="1:9">
      <c r="A1365" s="1" t="s">
        <v>1363</v>
      </c>
      <c r="B1365" s="3" t="str">
        <f ca="1">IFERROR(__xludf.DUMMYFUNCTION("SPLIT(A1365,"","")"),"US")</f>
        <v>US</v>
      </c>
      <c r="C1365" s="3" t="str">
        <f ca="1">IFERROR(__xludf.DUMMYFUNCTION("""COMPUTED_VALUE"""),"School of the Visual Arts")</f>
        <v>School of the Visual Arts</v>
      </c>
      <c r="D1365" s="4" t="str">
        <f ca="1">IFERROR(__xludf.DUMMYFUNCTION("""COMPUTED_VALUE"""),"http://www.schoolofvisualarts.edu/")</f>
        <v>http://www.schoolofvisualarts.edu/</v>
      </c>
      <c r="G1365" s="2" t="str">
        <f t="shared" ca="1" si="0"/>
        <v>School of the Visual Arts</v>
      </c>
      <c r="H1365" s="3" t="str">
        <f t="shared" ca="1" si="1"/>
        <v>School of the Visual Arts</v>
      </c>
      <c r="I1365" s="3" t="str">
        <f t="shared" ca="1" si="2"/>
        <v>'School of the Visual Arts',</v>
      </c>
    </row>
    <row r="1366" spans="1:9">
      <c r="A1366" s="1" t="s">
        <v>1364</v>
      </c>
      <c r="B1366" s="3" t="str">
        <f ca="1">IFERROR(__xludf.DUMMYFUNCTION("SPLIT(A1366,"","")"),"US")</f>
        <v>US</v>
      </c>
      <c r="C1366" s="3" t="str">
        <f ca="1">IFERROR(__xludf.DUMMYFUNCTION("""COMPUTED_VALUE"""),"Schreiner College")</f>
        <v>Schreiner College</v>
      </c>
      <c r="D1366" s="4" t="str">
        <f ca="1">IFERROR(__xludf.DUMMYFUNCTION("""COMPUTED_VALUE"""),"http://www.schreiner.edu/")</f>
        <v>http://www.schreiner.edu/</v>
      </c>
      <c r="G1366" s="2" t="str">
        <f t="shared" ca="1" si="0"/>
        <v>Schreiner College</v>
      </c>
      <c r="H1366" s="3" t="str">
        <f t="shared" ca="1" si="1"/>
        <v>Schreiner College</v>
      </c>
      <c r="I1366" s="3" t="str">
        <f t="shared" ca="1" si="2"/>
        <v>'Schreiner College',</v>
      </c>
    </row>
    <row r="1367" spans="1:9">
      <c r="A1367" s="1" t="s">
        <v>1365</v>
      </c>
      <c r="B1367" s="3" t="str">
        <f ca="1">IFERROR(__xludf.DUMMYFUNCTION("SPLIT(A1367,"","")"),"US")</f>
        <v>US</v>
      </c>
      <c r="C1367" s="3" t="str">
        <f ca="1">IFERROR(__xludf.DUMMYFUNCTION("""COMPUTED_VALUE"""),"Scripps College")</f>
        <v>Scripps College</v>
      </c>
      <c r="D1367" s="4" t="str">
        <f ca="1">IFERROR(__xludf.DUMMYFUNCTION("""COMPUTED_VALUE"""),"http://www.scrippscol.edu/")</f>
        <v>http://www.scrippscol.edu/</v>
      </c>
      <c r="G1367" s="2" t="str">
        <f t="shared" ca="1" si="0"/>
        <v>Scripps College</v>
      </c>
      <c r="H1367" s="3" t="str">
        <f t="shared" ca="1" si="1"/>
        <v>Scripps College</v>
      </c>
      <c r="I1367" s="3" t="str">
        <f t="shared" ca="1" si="2"/>
        <v>'Scripps College',</v>
      </c>
    </row>
    <row r="1368" spans="1:9">
      <c r="A1368" s="1" t="s">
        <v>1366</v>
      </c>
      <c r="B1368" s="3" t="str">
        <f ca="1">IFERROR(__xludf.DUMMYFUNCTION("SPLIT(A1368,"","")"),"US")</f>
        <v>US</v>
      </c>
      <c r="C1368" s="3" t="str">
        <f ca="1">IFERROR(__xludf.DUMMYFUNCTION("""COMPUTED_VALUE"""),"Seattle Pacific University")</f>
        <v>Seattle Pacific University</v>
      </c>
      <c r="D1368" s="4" t="str">
        <f ca="1">IFERROR(__xludf.DUMMYFUNCTION("""COMPUTED_VALUE"""),"http://www.spu.edu/")</f>
        <v>http://www.spu.edu/</v>
      </c>
      <c r="G1368" s="2" t="str">
        <f t="shared" ca="1" si="0"/>
        <v>Seattle Pacific University</v>
      </c>
      <c r="H1368" s="3" t="str">
        <f t="shared" ca="1" si="1"/>
        <v>Seattle Pacific University</v>
      </c>
      <c r="I1368" s="3" t="str">
        <f t="shared" ca="1" si="2"/>
        <v>'Seattle Pacific University',</v>
      </c>
    </row>
    <row r="1369" spans="1:9">
      <c r="A1369" s="1" t="s">
        <v>1367</v>
      </c>
      <c r="B1369" s="3" t="str">
        <f ca="1">IFERROR(__xludf.DUMMYFUNCTION("SPLIT(A1369,"","")"),"US")</f>
        <v>US</v>
      </c>
      <c r="C1369" s="3" t="str">
        <f ca="1">IFERROR(__xludf.DUMMYFUNCTION("""COMPUTED_VALUE"""),"Seattle University")</f>
        <v>Seattle University</v>
      </c>
      <c r="D1369" s="4" t="str">
        <f ca="1">IFERROR(__xludf.DUMMYFUNCTION("""COMPUTED_VALUE"""),"http://www.seattleu.edu/")</f>
        <v>http://www.seattleu.edu/</v>
      </c>
      <c r="G1369" s="2" t="str">
        <f t="shared" ca="1" si="0"/>
        <v>Seattle University</v>
      </c>
      <c r="H1369" s="3" t="str">
        <f t="shared" ca="1" si="1"/>
        <v>Seattle University</v>
      </c>
      <c r="I1369" s="3" t="str">
        <f t="shared" ca="1" si="2"/>
        <v>'Seattle University',</v>
      </c>
    </row>
    <row r="1370" spans="1:9">
      <c r="A1370" s="1" t="s">
        <v>1368</v>
      </c>
      <c r="B1370" s="3" t="str">
        <f ca="1">IFERROR(__xludf.DUMMYFUNCTION("SPLIT(A1370,"","")"),"US")</f>
        <v>US</v>
      </c>
      <c r="C1370" s="3" t="str">
        <f ca="1">IFERROR(__xludf.DUMMYFUNCTION("""COMPUTED_VALUE"""),"Seton Hall University")</f>
        <v>Seton Hall University</v>
      </c>
      <c r="D1370" s="4" t="str">
        <f ca="1">IFERROR(__xludf.DUMMYFUNCTION("""COMPUTED_VALUE"""),"http://www.shu.edu/")</f>
        <v>http://www.shu.edu/</v>
      </c>
      <c r="G1370" s="2" t="str">
        <f t="shared" ca="1" si="0"/>
        <v>Seton Hall University</v>
      </c>
      <c r="H1370" s="3" t="str">
        <f t="shared" ca="1" si="1"/>
        <v>Seton Hall University</v>
      </c>
      <c r="I1370" s="3" t="str">
        <f t="shared" ca="1" si="2"/>
        <v>'Seton Hall University',</v>
      </c>
    </row>
    <row r="1371" spans="1:9">
      <c r="A1371" s="1" t="s">
        <v>1369</v>
      </c>
      <c r="B1371" s="3" t="str">
        <f ca="1">IFERROR(__xludf.DUMMYFUNCTION("SPLIT(A1371,"","")"),"US")</f>
        <v>US</v>
      </c>
      <c r="C1371" s="3" t="str">
        <f ca="1">IFERROR(__xludf.DUMMYFUNCTION("""COMPUTED_VALUE"""),"Seton Hill College")</f>
        <v>Seton Hill College</v>
      </c>
      <c r="D1371" s="4" t="str">
        <f ca="1">IFERROR(__xludf.DUMMYFUNCTION("""COMPUTED_VALUE"""),"http://www.setonhill.edu/")</f>
        <v>http://www.setonhill.edu/</v>
      </c>
      <c r="G1371" s="2" t="str">
        <f t="shared" ca="1" si="0"/>
        <v>Seton Hill College</v>
      </c>
      <c r="H1371" s="3" t="str">
        <f t="shared" ca="1" si="1"/>
        <v>Seton Hill College</v>
      </c>
      <c r="I1371" s="3" t="str">
        <f t="shared" ca="1" si="2"/>
        <v>'Seton Hill College',</v>
      </c>
    </row>
    <row r="1372" spans="1:9">
      <c r="A1372" s="1" t="s">
        <v>1370</v>
      </c>
      <c r="B1372" s="3" t="str">
        <f ca="1">IFERROR(__xludf.DUMMYFUNCTION("SPLIT(A1372,"","")"),"US")</f>
        <v>US</v>
      </c>
      <c r="C1372" s="3" t="str">
        <f ca="1">IFERROR(__xludf.DUMMYFUNCTION("""COMPUTED_VALUE"""),"Shawnee Community College")</f>
        <v>Shawnee Community College</v>
      </c>
      <c r="D1372" s="4" t="str">
        <f ca="1">IFERROR(__xludf.DUMMYFUNCTION("""COMPUTED_VALUE"""),"http://www.shawnee.cc.il.us/")</f>
        <v>http://www.shawnee.cc.il.us/</v>
      </c>
      <c r="G1372" s="2" t="str">
        <f t="shared" ca="1" si="0"/>
        <v>Shawnee Community College</v>
      </c>
      <c r="H1372" s="3" t="str">
        <f t="shared" ca="1" si="1"/>
        <v>Shawnee Community College</v>
      </c>
      <c r="I1372" s="3" t="str">
        <f t="shared" ca="1" si="2"/>
        <v>'Shawnee Community College',</v>
      </c>
    </row>
    <row r="1373" spans="1:9">
      <c r="A1373" s="1" t="s">
        <v>1371</v>
      </c>
      <c r="B1373" s="3" t="str">
        <f ca="1">IFERROR(__xludf.DUMMYFUNCTION("SPLIT(A1373,"","")"),"US")</f>
        <v>US</v>
      </c>
      <c r="C1373" s="3" t="str">
        <f ca="1">IFERROR(__xludf.DUMMYFUNCTION("""COMPUTED_VALUE"""),"Shawnee State University")</f>
        <v>Shawnee State University</v>
      </c>
      <c r="D1373" s="4" t="str">
        <f ca="1">IFERROR(__xludf.DUMMYFUNCTION("""COMPUTED_VALUE"""),"http://www.shawnee.edu/")</f>
        <v>http://www.shawnee.edu/</v>
      </c>
      <c r="G1373" s="2" t="str">
        <f t="shared" ca="1" si="0"/>
        <v>Shawnee State University</v>
      </c>
      <c r="H1373" s="3" t="str">
        <f t="shared" ca="1" si="1"/>
        <v>Shawnee State University</v>
      </c>
      <c r="I1373" s="3" t="str">
        <f t="shared" ca="1" si="2"/>
        <v>'Shawnee State University',</v>
      </c>
    </row>
    <row r="1374" spans="1:9">
      <c r="A1374" s="1" t="s">
        <v>1372</v>
      </c>
      <c r="B1374" s="3" t="str">
        <f ca="1">IFERROR(__xludf.DUMMYFUNCTION("SPLIT(A1374,"","")"),"US")</f>
        <v>US</v>
      </c>
      <c r="C1374" s="3" t="str">
        <f ca="1">IFERROR(__xludf.DUMMYFUNCTION("""COMPUTED_VALUE"""),"Shaw University")</f>
        <v>Shaw University</v>
      </c>
      <c r="D1374" s="4" t="str">
        <f ca="1">IFERROR(__xludf.DUMMYFUNCTION("""COMPUTED_VALUE"""),"http://www.shawuniversity.edu/")</f>
        <v>http://www.shawuniversity.edu/</v>
      </c>
      <c r="G1374" s="2" t="str">
        <f t="shared" ca="1" si="0"/>
        <v>Shaw University</v>
      </c>
      <c r="H1374" s="3" t="str">
        <f t="shared" ca="1" si="1"/>
        <v>Shaw University</v>
      </c>
      <c r="I1374" s="3" t="str">
        <f t="shared" ca="1" si="2"/>
        <v>'Shaw University',</v>
      </c>
    </row>
    <row r="1375" spans="1:9">
      <c r="A1375" s="1" t="s">
        <v>1373</v>
      </c>
      <c r="B1375" s="3" t="str">
        <f ca="1">IFERROR(__xludf.DUMMYFUNCTION("SPLIT(A1375,"","")"),"US")</f>
        <v>US</v>
      </c>
      <c r="C1375" s="3" t="str">
        <f ca="1">IFERROR(__xludf.DUMMYFUNCTION("""COMPUTED_VALUE"""),"Sheldon Jackson College")</f>
        <v>Sheldon Jackson College</v>
      </c>
      <c r="D1375" s="4" t="str">
        <f ca="1">IFERROR(__xludf.DUMMYFUNCTION("""COMPUTED_VALUE"""),"http://www.sheldonjackson.edu/")</f>
        <v>http://www.sheldonjackson.edu/</v>
      </c>
      <c r="G1375" s="2" t="str">
        <f t="shared" ca="1" si="0"/>
        <v>Sheldon Jackson College</v>
      </c>
      <c r="H1375" s="3" t="str">
        <f t="shared" ca="1" si="1"/>
        <v>Sheldon Jackson College</v>
      </c>
      <c r="I1375" s="3" t="str">
        <f t="shared" ca="1" si="2"/>
        <v>'Sheldon Jackson College',</v>
      </c>
    </row>
    <row r="1376" spans="1:9">
      <c r="A1376" s="1" t="s">
        <v>1374</v>
      </c>
      <c r="B1376" s="3" t="str">
        <f ca="1">IFERROR(__xludf.DUMMYFUNCTION("SPLIT(A1376,"","")"),"US")</f>
        <v>US</v>
      </c>
      <c r="C1376" s="3" t="str">
        <f ca="1">IFERROR(__xludf.DUMMYFUNCTION("""COMPUTED_VALUE"""),"Shenandoah University")</f>
        <v>Shenandoah University</v>
      </c>
      <c r="D1376" s="4" t="str">
        <f ca="1">IFERROR(__xludf.DUMMYFUNCTION("""COMPUTED_VALUE"""),"http://www.su.edu/")</f>
        <v>http://www.su.edu/</v>
      </c>
      <c r="G1376" s="2" t="str">
        <f t="shared" ca="1" si="0"/>
        <v>Shenandoah University</v>
      </c>
      <c r="H1376" s="3" t="str">
        <f t="shared" ca="1" si="1"/>
        <v>Shenandoah University</v>
      </c>
      <c r="I1376" s="3" t="str">
        <f t="shared" ca="1" si="2"/>
        <v>'Shenandoah University',</v>
      </c>
    </row>
    <row r="1377" spans="1:9">
      <c r="A1377" s="1" t="s">
        <v>1375</v>
      </c>
      <c r="B1377" s="3" t="str">
        <f ca="1">IFERROR(__xludf.DUMMYFUNCTION("SPLIT(A1377,"","")"),"US")</f>
        <v>US</v>
      </c>
      <c r="C1377" s="3" t="str">
        <f ca="1">IFERROR(__xludf.DUMMYFUNCTION("""COMPUTED_VALUE"""),"Shepherd College")</f>
        <v>Shepherd College</v>
      </c>
      <c r="D1377" s="4" t="str">
        <f ca="1">IFERROR(__xludf.DUMMYFUNCTION("""COMPUTED_VALUE"""),"http://www.shepherd.edu/")</f>
        <v>http://www.shepherd.edu/</v>
      </c>
      <c r="G1377" s="2" t="str">
        <f t="shared" ca="1" si="0"/>
        <v>Shepherd College</v>
      </c>
      <c r="H1377" s="3" t="str">
        <f t="shared" ca="1" si="1"/>
        <v>Shepherd College</v>
      </c>
      <c r="I1377" s="3" t="str">
        <f t="shared" ca="1" si="2"/>
        <v>'Shepherd College',</v>
      </c>
    </row>
    <row r="1378" spans="1:9">
      <c r="A1378" s="1" t="s">
        <v>1376</v>
      </c>
      <c r="B1378" s="3" t="str">
        <f ca="1">IFERROR(__xludf.DUMMYFUNCTION("SPLIT(A1378,"","")"),"US")</f>
        <v>US</v>
      </c>
      <c r="C1378" s="3" t="str">
        <f ca="1">IFERROR(__xludf.DUMMYFUNCTION("""COMPUTED_VALUE"""),"Sherman College of Straight Chiropractic")</f>
        <v>Sherman College of Straight Chiropractic</v>
      </c>
      <c r="D1378" s="4" t="str">
        <f ca="1">IFERROR(__xludf.DUMMYFUNCTION("""COMPUTED_VALUE"""),"http://www.sherman.edu/")</f>
        <v>http://www.sherman.edu/</v>
      </c>
      <c r="G1378" s="2" t="str">
        <f t="shared" ca="1" si="0"/>
        <v>Sherman College of Straight Chiropractic</v>
      </c>
      <c r="H1378" s="3" t="str">
        <f t="shared" ca="1" si="1"/>
        <v>Sherman College of Straight Chiropractic</v>
      </c>
      <c r="I1378" s="3" t="str">
        <f t="shared" ca="1" si="2"/>
        <v>'Sherman College of Straight Chiropractic',</v>
      </c>
    </row>
    <row r="1379" spans="1:9">
      <c r="A1379" s="1" t="s">
        <v>1377</v>
      </c>
      <c r="B1379" s="3" t="str">
        <f ca="1">IFERROR(__xludf.DUMMYFUNCTION("SPLIT(A1379,"","")"),"US")</f>
        <v>US</v>
      </c>
      <c r="C1379" s="3" t="str">
        <f ca="1">IFERROR(__xludf.DUMMYFUNCTION("""COMPUTED_VALUE"""),"Shimer College")</f>
        <v>Shimer College</v>
      </c>
      <c r="D1379" s="4" t="str">
        <f ca="1">IFERROR(__xludf.DUMMYFUNCTION("""COMPUTED_VALUE"""),"http://www.shimer.edu/")</f>
        <v>http://www.shimer.edu/</v>
      </c>
      <c r="G1379" s="2" t="str">
        <f t="shared" ca="1" si="0"/>
        <v>Shimer College</v>
      </c>
      <c r="H1379" s="3" t="str">
        <f t="shared" ca="1" si="1"/>
        <v>Shimer College</v>
      </c>
      <c r="I1379" s="3" t="str">
        <f t="shared" ca="1" si="2"/>
        <v>'Shimer College',</v>
      </c>
    </row>
    <row r="1380" spans="1:9">
      <c r="A1380" s="1" t="s">
        <v>1378</v>
      </c>
      <c r="B1380" s="3" t="str">
        <f ca="1">IFERROR(__xludf.DUMMYFUNCTION("SPLIT(A1380,"","")"),"US")</f>
        <v>US</v>
      </c>
      <c r="C1380" s="3" t="str">
        <f ca="1">IFERROR(__xludf.DUMMYFUNCTION("""COMPUTED_VALUE"""),"Shippensburg University of Pennsylvania")</f>
        <v>Shippensburg University of Pennsylvania</v>
      </c>
      <c r="D1380" s="4" t="str">
        <f ca="1">IFERROR(__xludf.DUMMYFUNCTION("""COMPUTED_VALUE"""),"http://www.ship.edu/")</f>
        <v>http://www.ship.edu/</v>
      </c>
      <c r="G1380" s="2" t="str">
        <f t="shared" ca="1" si="0"/>
        <v>Shippensburg University of Pennsylvania</v>
      </c>
      <c r="H1380" s="3" t="str">
        <f t="shared" ca="1" si="1"/>
        <v>Shippensburg University of Pennsylvania</v>
      </c>
      <c r="I1380" s="3" t="str">
        <f t="shared" ca="1" si="2"/>
        <v>'Shippensburg University of Pennsylvania',</v>
      </c>
    </row>
    <row r="1381" spans="1:9">
      <c r="A1381" s="1" t="s">
        <v>1379</v>
      </c>
      <c r="B1381" s="3" t="str">
        <f ca="1">IFERROR(__xludf.DUMMYFUNCTION("SPLIT(A1381,"","")"),"US")</f>
        <v>US</v>
      </c>
      <c r="C1381" s="3" t="str">
        <f ca="1">IFERROR(__xludf.DUMMYFUNCTION("""COMPUTED_VALUE"""),"Shoreline Community College")</f>
        <v>Shoreline Community College</v>
      </c>
      <c r="D1381" s="4" t="str">
        <f ca="1">IFERROR(__xludf.DUMMYFUNCTION("""COMPUTED_VALUE"""),"http://www.shoreline.edu/")</f>
        <v>http://www.shoreline.edu/</v>
      </c>
      <c r="G1381" s="2" t="str">
        <f t="shared" ca="1" si="0"/>
        <v>Shoreline Community College</v>
      </c>
      <c r="H1381" s="3" t="str">
        <f t="shared" ca="1" si="1"/>
        <v>Shoreline Community College</v>
      </c>
      <c r="I1381" s="3" t="str">
        <f t="shared" ca="1" si="2"/>
        <v>'Shoreline Community College',</v>
      </c>
    </row>
    <row r="1382" spans="1:9">
      <c r="A1382" s="1" t="s">
        <v>1380</v>
      </c>
      <c r="B1382" s="3" t="str">
        <f ca="1">IFERROR(__xludf.DUMMYFUNCTION("SPLIT(A1382,"","")"),"US")</f>
        <v>US</v>
      </c>
      <c r="C1382" s="3" t="str">
        <f ca="1">IFERROR(__xludf.DUMMYFUNCTION("""COMPUTED_VALUE"""),"Shorter College")</f>
        <v>Shorter College</v>
      </c>
      <c r="D1382" s="4" t="str">
        <f ca="1">IFERROR(__xludf.DUMMYFUNCTION("""COMPUTED_VALUE"""),"http://www.shorter.edu/")</f>
        <v>http://www.shorter.edu/</v>
      </c>
      <c r="G1382" s="2" t="str">
        <f t="shared" ca="1" si="0"/>
        <v>Shorter College</v>
      </c>
      <c r="H1382" s="3" t="str">
        <f t="shared" ca="1" si="1"/>
        <v>Shorter College</v>
      </c>
      <c r="I1382" s="3" t="str">
        <f t="shared" ca="1" si="2"/>
        <v>'Shorter College',</v>
      </c>
    </row>
    <row r="1383" spans="1:9">
      <c r="A1383" s="1" t="s">
        <v>1381</v>
      </c>
      <c r="B1383" s="3" t="str">
        <f ca="1">IFERROR(__xludf.DUMMYFUNCTION("SPLIT(A1383,"","")"),"US")</f>
        <v>US</v>
      </c>
      <c r="C1383" s="3" t="str">
        <f ca="1">IFERROR(__xludf.DUMMYFUNCTION("""COMPUTED_VALUE"""),"Siena College")</f>
        <v>Siena College</v>
      </c>
      <c r="D1383" s="4" t="str">
        <f ca="1">IFERROR(__xludf.DUMMYFUNCTION("""COMPUTED_VALUE"""),"http://www.siena.edu/")</f>
        <v>http://www.siena.edu/</v>
      </c>
      <c r="G1383" s="2" t="str">
        <f t="shared" ca="1" si="0"/>
        <v>Siena College</v>
      </c>
      <c r="H1383" s="3" t="str">
        <f t="shared" ca="1" si="1"/>
        <v>Siena College</v>
      </c>
      <c r="I1383" s="3" t="str">
        <f t="shared" ca="1" si="2"/>
        <v>'Siena College',</v>
      </c>
    </row>
    <row r="1384" spans="1:9">
      <c r="A1384" s="1" t="s">
        <v>1382</v>
      </c>
      <c r="B1384" s="3" t="str">
        <f ca="1">IFERROR(__xludf.DUMMYFUNCTION("SPLIT(A1384,"","")"),"US")</f>
        <v>US</v>
      </c>
      <c r="C1384" s="3" t="str">
        <f ca="1">IFERROR(__xludf.DUMMYFUNCTION("""COMPUTED_VALUE"""),"Siena Heights University")</f>
        <v>Siena Heights University</v>
      </c>
      <c r="D1384" s="4" t="str">
        <f ca="1">IFERROR(__xludf.DUMMYFUNCTION("""COMPUTED_VALUE"""),"http://www.sienahts.edu/")</f>
        <v>http://www.sienahts.edu/</v>
      </c>
      <c r="G1384" s="2" t="str">
        <f t="shared" ca="1" si="0"/>
        <v>Siena Heights University</v>
      </c>
      <c r="H1384" s="3" t="str">
        <f t="shared" ca="1" si="1"/>
        <v>Siena Heights University</v>
      </c>
      <c r="I1384" s="3" t="str">
        <f t="shared" ca="1" si="2"/>
        <v>'Siena Heights University',</v>
      </c>
    </row>
    <row r="1385" spans="1:9">
      <c r="A1385" s="1" t="s">
        <v>1383</v>
      </c>
      <c r="B1385" s="3" t="str">
        <f ca="1">IFERROR(__xludf.DUMMYFUNCTION("SPLIT(A1385,"","")"),"US")</f>
        <v>US</v>
      </c>
      <c r="C1385" s="3" t="str">
        <f ca="1">IFERROR(__xludf.DUMMYFUNCTION("""COMPUTED_VALUE"""),"Sierra Nevada College")</f>
        <v>Sierra Nevada College</v>
      </c>
      <c r="D1385" s="4" t="str">
        <f ca="1">IFERROR(__xludf.DUMMYFUNCTION("""COMPUTED_VALUE"""),"http://www.sierranevada.edu/")</f>
        <v>http://www.sierranevada.edu/</v>
      </c>
      <c r="G1385" s="2" t="str">
        <f t="shared" ca="1" si="0"/>
        <v>Sierra Nevada College</v>
      </c>
      <c r="H1385" s="3" t="str">
        <f t="shared" ca="1" si="1"/>
        <v>Sierra Nevada College</v>
      </c>
      <c r="I1385" s="3" t="str">
        <f t="shared" ca="1" si="2"/>
        <v>'Sierra Nevada College',</v>
      </c>
    </row>
    <row r="1386" spans="1:9">
      <c r="A1386" s="1" t="s">
        <v>1384</v>
      </c>
      <c r="B1386" s="3" t="str">
        <f ca="1">IFERROR(__xludf.DUMMYFUNCTION("SPLIT(A1386,"","")"),"US")</f>
        <v>US</v>
      </c>
      <c r="C1386" s="3" t="str">
        <f ca="1">IFERROR(__xludf.DUMMYFUNCTION("""COMPUTED_VALUE"""),"Silver Lake College")</f>
        <v>Silver Lake College</v>
      </c>
      <c r="D1386" s="4" t="str">
        <f ca="1">IFERROR(__xludf.DUMMYFUNCTION("""COMPUTED_VALUE"""),"http://www.sl.edu/")</f>
        <v>http://www.sl.edu/</v>
      </c>
      <c r="G1386" s="2" t="str">
        <f t="shared" ca="1" si="0"/>
        <v>Silver Lake College</v>
      </c>
      <c r="H1386" s="3" t="str">
        <f t="shared" ca="1" si="1"/>
        <v>Silver Lake College</v>
      </c>
      <c r="I1386" s="3" t="str">
        <f t="shared" ca="1" si="2"/>
        <v>'Silver Lake College',</v>
      </c>
    </row>
    <row r="1387" spans="1:9">
      <c r="A1387" s="1" t="s">
        <v>1385</v>
      </c>
      <c r="B1387" s="3" t="str">
        <f ca="1">IFERROR(__xludf.DUMMYFUNCTION("SPLIT(A1387,"","")"),"US")</f>
        <v>US</v>
      </c>
      <c r="C1387" s="3" t="str">
        <f ca="1">IFERROR(__xludf.DUMMYFUNCTION("""COMPUTED_VALUE"""),"Simmons College")</f>
        <v>Simmons College</v>
      </c>
      <c r="D1387" s="4" t="str">
        <f ca="1">IFERROR(__xludf.DUMMYFUNCTION("""COMPUTED_VALUE"""),"http://www.simmons.edu/")</f>
        <v>http://www.simmons.edu/</v>
      </c>
      <c r="G1387" s="2" t="str">
        <f t="shared" ca="1" si="0"/>
        <v>Simmons College</v>
      </c>
      <c r="H1387" s="3" t="str">
        <f t="shared" ca="1" si="1"/>
        <v>Simmons College</v>
      </c>
      <c r="I1387" s="3" t="str">
        <f t="shared" ca="1" si="2"/>
        <v>'Simmons College',</v>
      </c>
    </row>
    <row r="1388" spans="1:9">
      <c r="A1388" s="1" t="s">
        <v>1386</v>
      </c>
      <c r="B1388" s="3" t="str">
        <f ca="1">IFERROR(__xludf.DUMMYFUNCTION("SPLIT(A1388,"","")"),"US")</f>
        <v>US</v>
      </c>
      <c r="C1388" s="3" t="str">
        <f ca="1">IFERROR(__xludf.DUMMYFUNCTION("""COMPUTED_VALUE"""),"Simon's Rock College")</f>
        <v>Simon's Rock College</v>
      </c>
      <c r="D1388" s="4" t="str">
        <f ca="1">IFERROR(__xludf.DUMMYFUNCTION("""COMPUTED_VALUE"""),"http://www.simons-rock.edu/")</f>
        <v>http://www.simons-rock.edu/</v>
      </c>
      <c r="G1388" s="2" t="str">
        <f t="shared" ca="1" si="0"/>
        <v>Simon's Rock College</v>
      </c>
      <c r="H1388" s="3" t="str">
        <f t="shared" ca="1" si="1"/>
        <v>Simon's Rock College</v>
      </c>
      <c r="I1388" s="3" t="str">
        <f t="shared" ca="1" si="2"/>
        <v>'Simon's Rock College',</v>
      </c>
    </row>
    <row r="1389" spans="1:9">
      <c r="A1389" s="1" t="s">
        <v>1387</v>
      </c>
      <c r="B1389" s="3" t="str">
        <f ca="1">IFERROR(__xludf.DUMMYFUNCTION("SPLIT(A1389,"","")"),"US")</f>
        <v>US</v>
      </c>
      <c r="C1389" s="3" t="str">
        <f ca="1">IFERROR(__xludf.DUMMYFUNCTION("""COMPUTED_VALUE"""),"Simpson College")</f>
        <v>Simpson College</v>
      </c>
      <c r="D1389" s="4" t="str">
        <f ca="1">IFERROR(__xludf.DUMMYFUNCTION("""COMPUTED_VALUE"""),"http://www.simpsonca.edu/")</f>
        <v>http://www.simpsonca.edu/</v>
      </c>
      <c r="G1389" s="2" t="str">
        <f t="shared" ca="1" si="0"/>
        <v>Simpson College</v>
      </c>
      <c r="H1389" s="3" t="str">
        <f t="shared" ca="1" si="1"/>
        <v>Simpson College</v>
      </c>
      <c r="I1389" s="3" t="str">
        <f t="shared" ca="1" si="2"/>
        <v>'Simpson College',</v>
      </c>
    </row>
    <row r="1390" spans="1:9">
      <c r="A1390" s="1" t="s">
        <v>1388</v>
      </c>
      <c r="B1390" s="3" t="str">
        <f ca="1">IFERROR(__xludf.DUMMYFUNCTION("SPLIT(A1390,"","")"),"US")</f>
        <v>US</v>
      </c>
      <c r="C1390" s="3" t="str">
        <f ca="1">IFERROR(__xludf.DUMMYFUNCTION("""COMPUTED_VALUE"""),"Simpson College Iowa")</f>
        <v>Simpson College Iowa</v>
      </c>
      <c r="D1390" s="4" t="str">
        <f ca="1">IFERROR(__xludf.DUMMYFUNCTION("""COMPUTED_VALUE"""),"http://www.simpson.edu/")</f>
        <v>http://www.simpson.edu/</v>
      </c>
      <c r="G1390" s="2" t="str">
        <f t="shared" ca="1" si="0"/>
        <v>Simpson College Iowa</v>
      </c>
      <c r="H1390" s="3" t="str">
        <f t="shared" ca="1" si="1"/>
        <v>Simpson College Iowa</v>
      </c>
      <c r="I1390" s="3" t="str">
        <f t="shared" ca="1" si="2"/>
        <v>'Simpson College Iowa',</v>
      </c>
    </row>
    <row r="1391" spans="1:9">
      <c r="A1391" s="1" t="s">
        <v>1389</v>
      </c>
      <c r="B1391" s="3" t="str">
        <f ca="1">IFERROR(__xludf.DUMMYFUNCTION("SPLIT(A1391,"","")"),"US")</f>
        <v>US</v>
      </c>
      <c r="C1391" s="3" t="str">
        <f ca="1">IFERROR(__xludf.DUMMYFUNCTION("""COMPUTED_VALUE"""),"Sinte Gleska University")</f>
        <v>Sinte Gleska University</v>
      </c>
      <c r="D1391" s="4" t="str">
        <f ca="1">IFERROR(__xludf.DUMMYFUNCTION("""COMPUTED_VALUE"""),"http://sinte.indian.com/")</f>
        <v>http://sinte.indian.com/</v>
      </c>
      <c r="G1391" s="2" t="str">
        <f t="shared" ca="1" si="0"/>
        <v>Sinte Gleska University</v>
      </c>
      <c r="H1391" s="3" t="str">
        <f t="shared" ca="1" si="1"/>
        <v>Sinte Gleska University</v>
      </c>
      <c r="I1391" s="3" t="str">
        <f t="shared" ca="1" si="2"/>
        <v>'Sinte Gleska University',</v>
      </c>
    </row>
    <row r="1392" spans="1:9">
      <c r="A1392" s="1" t="s">
        <v>1390</v>
      </c>
      <c r="B1392" s="3" t="str">
        <f ca="1">IFERROR(__xludf.DUMMYFUNCTION("SPLIT(A1392,"","")"),"US")</f>
        <v>US</v>
      </c>
      <c r="C1392" s="3" t="str">
        <f ca="1">IFERROR(__xludf.DUMMYFUNCTION("""COMPUTED_VALUE"""),"Skadron College")</f>
        <v>Skadron College</v>
      </c>
      <c r="D1392" s="4" t="str">
        <f ca="1">IFERROR(__xludf.DUMMYFUNCTION("""COMPUTED_VALUE"""),"http://skadron.com/")</f>
        <v>http://skadron.com/</v>
      </c>
      <c r="G1392" s="2" t="str">
        <f t="shared" ca="1" si="0"/>
        <v>Skadron College</v>
      </c>
      <c r="H1392" s="3" t="str">
        <f t="shared" ca="1" si="1"/>
        <v>Skadron College</v>
      </c>
      <c r="I1392" s="3" t="str">
        <f t="shared" ca="1" si="2"/>
        <v>'Skadron College',</v>
      </c>
    </row>
    <row r="1393" spans="1:9">
      <c r="A1393" s="1" t="s">
        <v>1391</v>
      </c>
      <c r="B1393" s="3" t="str">
        <f ca="1">IFERROR(__xludf.DUMMYFUNCTION("SPLIT(A1393,"","")"),"US")</f>
        <v>US</v>
      </c>
      <c r="C1393" s="3" t="str">
        <f ca="1">IFERROR(__xludf.DUMMYFUNCTION("""COMPUTED_VALUE"""),"Skidmore College")</f>
        <v>Skidmore College</v>
      </c>
      <c r="D1393" s="4" t="str">
        <f ca="1">IFERROR(__xludf.DUMMYFUNCTION("""COMPUTED_VALUE"""),"http://www.skidmore.edu/")</f>
        <v>http://www.skidmore.edu/</v>
      </c>
      <c r="G1393" s="2" t="str">
        <f t="shared" ca="1" si="0"/>
        <v>Skidmore College</v>
      </c>
      <c r="H1393" s="3" t="str">
        <f t="shared" ca="1" si="1"/>
        <v>Skidmore College</v>
      </c>
      <c r="I1393" s="3" t="str">
        <f t="shared" ca="1" si="2"/>
        <v>'Skidmore College',</v>
      </c>
    </row>
    <row r="1394" spans="1:9">
      <c r="A1394" s="1" t="s">
        <v>1392</v>
      </c>
      <c r="B1394" s="3" t="str">
        <f ca="1">IFERROR(__xludf.DUMMYFUNCTION("SPLIT(A1394,"","")"),"US")</f>
        <v>US</v>
      </c>
      <c r="C1394" s="3" t="str">
        <f ca="1">IFERROR(__xludf.DUMMYFUNCTION("""COMPUTED_VALUE"""),"Slippery Rock University")</f>
        <v>Slippery Rock University</v>
      </c>
      <c r="D1394" s="4" t="str">
        <f ca="1">IFERROR(__xludf.DUMMYFUNCTION("""COMPUTED_VALUE"""),"http://www.sru.edu/")</f>
        <v>http://www.sru.edu/</v>
      </c>
      <c r="G1394" s="2" t="str">
        <f t="shared" ca="1" si="0"/>
        <v>Slippery Rock University</v>
      </c>
      <c r="H1394" s="3" t="str">
        <f t="shared" ca="1" si="1"/>
        <v>Slippery Rock University</v>
      </c>
      <c r="I1394" s="3" t="str">
        <f t="shared" ca="1" si="2"/>
        <v>'Slippery Rock University',</v>
      </c>
    </row>
    <row r="1395" spans="1:9">
      <c r="A1395" s="1" t="s">
        <v>1393</v>
      </c>
      <c r="B1395" s="3" t="str">
        <f ca="1">IFERROR(__xludf.DUMMYFUNCTION("SPLIT(A1395,"","")"),"US")</f>
        <v>US</v>
      </c>
      <c r="C1395" s="3" t="str">
        <f ca="1">IFERROR(__xludf.DUMMYFUNCTION("""COMPUTED_VALUE"""),"Smith College")</f>
        <v>Smith College</v>
      </c>
      <c r="D1395" s="4" t="str">
        <f ca="1">IFERROR(__xludf.DUMMYFUNCTION("""COMPUTED_VALUE"""),"http://www.smith.edu/")</f>
        <v>http://www.smith.edu/</v>
      </c>
      <c r="G1395" s="2" t="str">
        <f t="shared" ca="1" si="0"/>
        <v>Smith College</v>
      </c>
      <c r="H1395" s="3" t="str">
        <f t="shared" ca="1" si="1"/>
        <v>Smith College</v>
      </c>
      <c r="I1395" s="3" t="str">
        <f t="shared" ca="1" si="2"/>
        <v>'Smith College',</v>
      </c>
    </row>
    <row r="1396" spans="1:9">
      <c r="A1396" s="1" t="s">
        <v>1394</v>
      </c>
      <c r="B1396" s="3" t="str">
        <f ca="1">IFERROR(__xludf.DUMMYFUNCTION("SPLIT(A1396,"","")"),"US")</f>
        <v>US</v>
      </c>
      <c r="C1396" s="3" t="str">
        <f ca="1">IFERROR(__xludf.DUMMYFUNCTION("""COMPUTED_VALUE"""),"Sojourner-Douglass College")</f>
        <v>Sojourner-Douglass College</v>
      </c>
      <c r="D1396" s="4" t="str">
        <f ca="1">IFERROR(__xludf.DUMMYFUNCTION("""COMPUTED_VALUE"""),"http://www.sdc.edu/")</f>
        <v>http://www.sdc.edu/</v>
      </c>
      <c r="G1396" s="2" t="str">
        <f t="shared" ca="1" si="0"/>
        <v>Sojourner-Douglass College</v>
      </c>
      <c r="H1396" s="3" t="str">
        <f t="shared" ca="1" si="1"/>
        <v>Sojourner-Douglass College</v>
      </c>
      <c r="I1396" s="3" t="str">
        <f t="shared" ca="1" si="2"/>
        <v>'Sojourner-Douglass College',</v>
      </c>
    </row>
    <row r="1397" spans="1:9">
      <c r="A1397" s="1" t="s">
        <v>1395</v>
      </c>
      <c r="B1397" s="3" t="str">
        <f ca="1">IFERROR(__xludf.DUMMYFUNCTION("SPLIT(A1397,"","")"),"US")</f>
        <v>US</v>
      </c>
      <c r="C1397" s="3" t="str">
        <f ca="1">IFERROR(__xludf.DUMMYFUNCTION("""COMPUTED_VALUE"""),"Soka University of America")</f>
        <v>Soka University of America</v>
      </c>
      <c r="D1397" s="4" t="str">
        <f ca="1">IFERROR(__xludf.DUMMYFUNCTION("""COMPUTED_VALUE"""),"http://www.soka.edu")</f>
        <v>http://www.soka.edu</v>
      </c>
      <c r="G1397" s="2" t="str">
        <f t="shared" ca="1" si="0"/>
        <v>Soka University of America</v>
      </c>
      <c r="H1397" s="3" t="str">
        <f t="shared" ca="1" si="1"/>
        <v>Soka University of America</v>
      </c>
      <c r="I1397" s="3" t="str">
        <f t="shared" ca="1" si="2"/>
        <v>'Soka University of America',</v>
      </c>
    </row>
    <row r="1398" spans="1:9">
      <c r="A1398" s="1" t="s">
        <v>1396</v>
      </c>
      <c r="B1398" s="3" t="str">
        <f ca="1">IFERROR(__xludf.DUMMYFUNCTION("SPLIT(A1398,"","")"),"US")</f>
        <v>US</v>
      </c>
      <c r="C1398" s="3" t="str">
        <f ca="1">IFERROR(__xludf.DUMMYFUNCTION("""COMPUTED_VALUE"""),"Sonoma State University")</f>
        <v>Sonoma State University</v>
      </c>
      <c r="D1398" s="4" t="str">
        <f ca="1">IFERROR(__xludf.DUMMYFUNCTION("""COMPUTED_VALUE"""),"http://www.sonoma.edu/")</f>
        <v>http://www.sonoma.edu/</v>
      </c>
      <c r="G1398" s="2" t="str">
        <f t="shared" ca="1" si="0"/>
        <v>Sonoma State University</v>
      </c>
      <c r="H1398" s="3" t="str">
        <f t="shared" ca="1" si="1"/>
        <v>Sonoma State University</v>
      </c>
      <c r="I1398" s="3" t="str">
        <f t="shared" ca="1" si="2"/>
        <v>'Sonoma State University',</v>
      </c>
    </row>
    <row r="1399" spans="1:9">
      <c r="A1399" s="1" t="s">
        <v>1397</v>
      </c>
      <c r="B1399" s="3" t="str">
        <f ca="1">IFERROR(__xludf.DUMMYFUNCTION("SPLIT(A1399,"","")"),"US")</f>
        <v>US</v>
      </c>
      <c r="C1399" s="3" t="str">
        <f ca="1">IFERROR(__xludf.DUMMYFUNCTION("""COMPUTED_VALUE"""),"South Carolina State University")</f>
        <v>South Carolina State University</v>
      </c>
      <c r="D1399" s="4" t="str">
        <f ca="1">IFERROR(__xludf.DUMMYFUNCTION("""COMPUTED_VALUE"""),"http://www.scsu.edu/")</f>
        <v>http://www.scsu.edu/</v>
      </c>
      <c r="G1399" s="2" t="str">
        <f t="shared" ca="1" si="0"/>
        <v>South Carolina State University</v>
      </c>
      <c r="H1399" s="3" t="str">
        <f t="shared" ca="1" si="1"/>
        <v>South Carolina State University</v>
      </c>
      <c r="I1399" s="3" t="str">
        <f t="shared" ca="1" si="2"/>
        <v>'South Carolina State University',</v>
      </c>
    </row>
    <row r="1400" spans="1:9">
      <c r="A1400" s="1" t="s">
        <v>1398</v>
      </c>
      <c r="B1400" s="3" t="str">
        <f ca="1">IFERROR(__xludf.DUMMYFUNCTION("SPLIT(A1400,"","")"),"US")</f>
        <v>US</v>
      </c>
      <c r="C1400" s="3" t="str">
        <f ca="1">IFERROR(__xludf.DUMMYFUNCTION("""COMPUTED_VALUE"""),"South Dakota School of Mines and Technology")</f>
        <v>South Dakota School of Mines and Technology</v>
      </c>
      <c r="D1400" s="4" t="str">
        <f ca="1">IFERROR(__xludf.DUMMYFUNCTION("""COMPUTED_VALUE"""),"http://www.sdsmt.edu/")</f>
        <v>http://www.sdsmt.edu/</v>
      </c>
      <c r="G1400" s="2" t="str">
        <f t="shared" ca="1" si="0"/>
        <v>South Dakota School of Mines and Technology</v>
      </c>
      <c r="H1400" s="3" t="str">
        <f t="shared" ca="1" si="1"/>
        <v>South Dakota School of Mines and Technology</v>
      </c>
      <c r="I1400" s="3" t="str">
        <f t="shared" ca="1" si="2"/>
        <v>'South Dakota School of Mines and Technology',</v>
      </c>
    </row>
    <row r="1401" spans="1:9">
      <c r="A1401" s="1" t="s">
        <v>1399</v>
      </c>
      <c r="B1401" s="3" t="str">
        <f ca="1">IFERROR(__xludf.DUMMYFUNCTION("SPLIT(A1401,"","")"),"US")</f>
        <v>US</v>
      </c>
      <c r="C1401" s="3" t="str">
        <f ca="1">IFERROR(__xludf.DUMMYFUNCTION("""COMPUTED_VALUE"""),"South Dakota State University")</f>
        <v>South Dakota State University</v>
      </c>
      <c r="D1401" s="4" t="str">
        <f ca="1">IFERROR(__xludf.DUMMYFUNCTION("""COMPUTED_VALUE"""),"http://www.sdstate.edu/")</f>
        <v>http://www.sdstate.edu/</v>
      </c>
      <c r="G1401" s="2" t="str">
        <f t="shared" ca="1" si="0"/>
        <v>South Dakota State University</v>
      </c>
      <c r="H1401" s="3" t="str">
        <f t="shared" ca="1" si="1"/>
        <v>South Dakota State University</v>
      </c>
      <c r="I1401" s="3" t="str">
        <f t="shared" ca="1" si="2"/>
        <v>'South Dakota State University',</v>
      </c>
    </row>
    <row r="1402" spans="1:9">
      <c r="A1402" s="1" t="s">
        <v>1400</v>
      </c>
      <c r="B1402" s="3" t="str">
        <f ca="1">IFERROR(__xludf.DUMMYFUNCTION("SPLIT(A1402,"","")"),"US")</f>
        <v>US</v>
      </c>
      <c r="C1402" s="3" t="str">
        <f ca="1">IFERROR(__xludf.DUMMYFUNCTION("""COMPUTED_VALUE"""),"Southeastern Baptist College")</f>
        <v>Southeastern Baptist College</v>
      </c>
      <c r="D1402" s="4" t="str">
        <f ca="1">IFERROR(__xludf.DUMMYFUNCTION("""COMPUTED_VALUE"""),"http://www.southeasternbaptist.edu/")</f>
        <v>http://www.southeasternbaptist.edu/</v>
      </c>
      <c r="G1402" s="2" t="str">
        <f t="shared" ca="1" si="0"/>
        <v>Southeastern Baptist College</v>
      </c>
      <c r="H1402" s="3" t="str">
        <f t="shared" ca="1" si="1"/>
        <v>Southeastern Baptist College</v>
      </c>
      <c r="I1402" s="3" t="str">
        <f t="shared" ca="1" si="2"/>
        <v>'Southeastern Baptist College',</v>
      </c>
    </row>
    <row r="1403" spans="1:9">
      <c r="A1403" s="1" t="s">
        <v>1401</v>
      </c>
      <c r="B1403" s="3" t="str">
        <f ca="1">IFERROR(__xludf.DUMMYFUNCTION("SPLIT(A1403,"","")"),"US")</f>
        <v>US</v>
      </c>
      <c r="C1403" s="3" t="str">
        <f ca="1">IFERROR(__xludf.DUMMYFUNCTION("""COMPUTED_VALUE"""),"Southeastern Bible College")</f>
        <v>Southeastern Bible College</v>
      </c>
      <c r="D1403" s="4" t="str">
        <f ca="1">IFERROR(__xludf.DUMMYFUNCTION("""COMPUTED_VALUE"""),"http://www.sebc.edu/")</f>
        <v>http://www.sebc.edu/</v>
      </c>
      <c r="G1403" s="2" t="str">
        <f t="shared" ca="1" si="0"/>
        <v>Southeastern Bible College</v>
      </c>
      <c r="H1403" s="3" t="str">
        <f t="shared" ca="1" si="1"/>
        <v>Southeastern Bible College</v>
      </c>
      <c r="I1403" s="3" t="str">
        <f t="shared" ca="1" si="2"/>
        <v>'Southeastern Bible College',</v>
      </c>
    </row>
    <row r="1404" spans="1:9">
      <c r="A1404" s="1" t="s">
        <v>1402</v>
      </c>
      <c r="B1404" s="3" t="str">
        <f ca="1">IFERROR(__xludf.DUMMYFUNCTION("SPLIT(A1404,"","")"),"US")</f>
        <v>US</v>
      </c>
      <c r="C1404" s="3" t="str">
        <f ca="1">IFERROR(__xludf.DUMMYFUNCTION("""COMPUTED_VALUE"""),"Southeastern College of the Assemblies of God")</f>
        <v>Southeastern College of the Assemblies of God</v>
      </c>
      <c r="D1404" s="4" t="str">
        <f ca="1">IFERROR(__xludf.DUMMYFUNCTION("""COMPUTED_VALUE"""),"http://www.secollege.edu/")</f>
        <v>http://www.secollege.edu/</v>
      </c>
      <c r="G1404" s="2" t="str">
        <f t="shared" ca="1" si="0"/>
        <v>Southeastern College of the Assemblies of God</v>
      </c>
      <c r="H1404" s="3" t="str">
        <f t="shared" ca="1" si="1"/>
        <v>Southeastern College of the Assemblies of God</v>
      </c>
      <c r="I1404" s="3" t="str">
        <f t="shared" ca="1" si="2"/>
        <v>'Southeastern College of the Assemblies of God',</v>
      </c>
    </row>
    <row r="1405" spans="1:9">
      <c r="A1405" s="1" t="s">
        <v>1403</v>
      </c>
      <c r="B1405" s="3" t="str">
        <f ca="1">IFERROR(__xludf.DUMMYFUNCTION("SPLIT(A1405,"","")"),"US")</f>
        <v>US</v>
      </c>
      <c r="C1405" s="3" t="str">
        <f ca="1">IFERROR(__xludf.DUMMYFUNCTION("""COMPUTED_VALUE"""),"Southeastern Louisiana University")</f>
        <v>Southeastern Louisiana University</v>
      </c>
      <c r="D1405" s="4" t="str">
        <f ca="1">IFERROR(__xludf.DUMMYFUNCTION("""COMPUTED_VALUE"""),"http://www.southeastern.edu/")</f>
        <v>http://www.southeastern.edu/</v>
      </c>
      <c r="G1405" s="2" t="str">
        <f t="shared" ca="1" si="0"/>
        <v>Southeastern Louisiana University</v>
      </c>
      <c r="H1405" s="3" t="str">
        <f t="shared" ca="1" si="1"/>
        <v>Southeastern Louisiana University</v>
      </c>
      <c r="I1405" s="3" t="str">
        <f t="shared" ca="1" si="2"/>
        <v>'Southeastern Louisiana University',</v>
      </c>
    </row>
    <row r="1406" spans="1:9">
      <c r="A1406" s="1" t="s">
        <v>1404</v>
      </c>
      <c r="B1406" s="3" t="str">
        <f ca="1">IFERROR(__xludf.DUMMYFUNCTION("SPLIT(A1406,"","")"),"US")</f>
        <v>US</v>
      </c>
      <c r="C1406" s="3" t="str">
        <f ca="1">IFERROR(__xludf.DUMMYFUNCTION("""COMPUTED_VALUE"""),"Southeastern Oklahoma State University")</f>
        <v>Southeastern Oklahoma State University</v>
      </c>
      <c r="D1406" s="4" t="str">
        <f ca="1">IFERROR(__xludf.DUMMYFUNCTION("""COMPUTED_VALUE"""),"http://www.sosu.edu/")</f>
        <v>http://www.sosu.edu/</v>
      </c>
      <c r="G1406" s="2" t="str">
        <f t="shared" ca="1" si="0"/>
        <v>Southeastern Oklahoma State University</v>
      </c>
      <c r="H1406" s="3" t="str">
        <f t="shared" ca="1" si="1"/>
        <v>Southeastern Oklahoma State University</v>
      </c>
      <c r="I1406" s="3" t="str">
        <f t="shared" ca="1" si="2"/>
        <v>'Southeastern Oklahoma State University',</v>
      </c>
    </row>
    <row r="1407" spans="1:9">
      <c r="A1407" s="1" t="s">
        <v>1405</v>
      </c>
      <c r="B1407" s="3" t="str">
        <f ca="1">IFERROR(__xludf.DUMMYFUNCTION("SPLIT(A1407,"","")"),"US")</f>
        <v>US</v>
      </c>
      <c r="C1407" s="3" t="str">
        <f ca="1">IFERROR(__xludf.DUMMYFUNCTION("""COMPUTED_VALUE"""),"Southeastern University")</f>
        <v>Southeastern University</v>
      </c>
      <c r="D1407" s="4" t="str">
        <f ca="1">IFERROR(__xludf.DUMMYFUNCTION("""COMPUTED_VALUE"""),"http://www.seu.edu/")</f>
        <v>http://www.seu.edu/</v>
      </c>
      <c r="G1407" s="2" t="str">
        <f t="shared" ca="1" si="0"/>
        <v>Southeastern University</v>
      </c>
      <c r="H1407" s="3" t="str">
        <f t="shared" ca="1" si="1"/>
        <v>Southeastern University</v>
      </c>
      <c r="I1407" s="3" t="str">
        <f t="shared" ca="1" si="2"/>
        <v>'Southeastern University',</v>
      </c>
    </row>
    <row r="1408" spans="1:9">
      <c r="A1408" s="1" t="s">
        <v>1406</v>
      </c>
      <c r="B1408" s="3" t="str">
        <f ca="1">IFERROR(__xludf.DUMMYFUNCTION("SPLIT(A1408,"","")"),"US")</f>
        <v>US</v>
      </c>
      <c r="C1408" s="3" t="str">
        <f ca="1">IFERROR(__xludf.DUMMYFUNCTION("""COMPUTED_VALUE"""),"Southeast Missouri State University")</f>
        <v>Southeast Missouri State University</v>
      </c>
      <c r="D1408" s="4" t="str">
        <f ca="1">IFERROR(__xludf.DUMMYFUNCTION("""COMPUTED_VALUE"""),"http://www.semo.edu/")</f>
        <v>http://www.semo.edu/</v>
      </c>
      <c r="G1408" s="2" t="str">
        <f t="shared" ca="1" si="0"/>
        <v>Southeast Missouri State University</v>
      </c>
      <c r="H1408" s="3" t="str">
        <f t="shared" ca="1" si="1"/>
        <v>Southeast Missouri State University</v>
      </c>
      <c r="I1408" s="3" t="str">
        <f t="shared" ca="1" si="2"/>
        <v>'Southeast Missouri State University',</v>
      </c>
    </row>
    <row r="1409" spans="1:9">
      <c r="A1409" s="1" t="s">
        <v>1407</v>
      </c>
      <c r="B1409" s="3" t="str">
        <f ca="1">IFERROR(__xludf.DUMMYFUNCTION("SPLIT(A1409,"","")"),"US")</f>
        <v>US</v>
      </c>
      <c r="C1409" s="3" t="str">
        <f ca="1">IFERROR(__xludf.DUMMYFUNCTION("""COMPUTED_VALUE"""),"Southern Adventist University")</f>
        <v>Southern Adventist University</v>
      </c>
      <c r="D1409" s="4" t="str">
        <f ca="1">IFERROR(__xludf.DUMMYFUNCTION("""COMPUTED_VALUE"""),"http://www.southern.edu/")</f>
        <v>http://www.southern.edu/</v>
      </c>
      <c r="G1409" s="2" t="str">
        <f t="shared" ca="1" si="0"/>
        <v>Southern Adventist University</v>
      </c>
      <c r="H1409" s="3" t="str">
        <f t="shared" ca="1" si="1"/>
        <v>Southern Adventist University</v>
      </c>
      <c r="I1409" s="3" t="str">
        <f t="shared" ca="1" si="2"/>
        <v>'Southern Adventist University',</v>
      </c>
    </row>
    <row r="1410" spans="1:9">
      <c r="A1410" s="1" t="s">
        <v>1408</v>
      </c>
      <c r="B1410" s="3" t="str">
        <f ca="1">IFERROR(__xludf.DUMMYFUNCTION("SPLIT(A1410,"","")"),"US")</f>
        <v>US</v>
      </c>
      <c r="C1410" s="3" t="str">
        <f ca="1">IFERROR(__xludf.DUMMYFUNCTION("""COMPUTED_VALUE"""),"Southern Arkansas University")</f>
        <v>Southern Arkansas University</v>
      </c>
      <c r="D1410" s="4" t="str">
        <f ca="1">IFERROR(__xludf.DUMMYFUNCTION("""COMPUTED_VALUE"""),"http://www.saumag.edu/")</f>
        <v>http://www.saumag.edu/</v>
      </c>
      <c r="G1410" s="2" t="str">
        <f t="shared" ca="1" si="0"/>
        <v>Southern Arkansas University</v>
      </c>
      <c r="H1410" s="3" t="str">
        <f t="shared" ca="1" si="1"/>
        <v>Southern Arkansas University</v>
      </c>
      <c r="I1410" s="3" t="str">
        <f t="shared" ca="1" si="2"/>
        <v>'Southern Arkansas University',</v>
      </c>
    </row>
    <row r="1411" spans="1:9">
      <c r="A1411" s="1" t="s">
        <v>1409</v>
      </c>
      <c r="B1411" s="3" t="str">
        <f ca="1">IFERROR(__xludf.DUMMYFUNCTION("SPLIT(A1411,"","")"),"US")</f>
        <v>US</v>
      </c>
      <c r="C1411" s="3" t="str">
        <f ca="1">IFERROR(__xludf.DUMMYFUNCTION("""COMPUTED_VALUE"""),"Southern California College")</f>
        <v>Southern California College</v>
      </c>
      <c r="D1411" s="4" t="str">
        <f ca="1">IFERROR(__xludf.DUMMYFUNCTION("""COMPUTED_VALUE"""),"http://www.sccu.edu/")</f>
        <v>http://www.sccu.edu/</v>
      </c>
      <c r="G1411" s="2" t="str">
        <f t="shared" ca="1" si="0"/>
        <v>Southern California College</v>
      </c>
      <c r="H1411" s="3" t="str">
        <f t="shared" ca="1" si="1"/>
        <v>Southern California College</v>
      </c>
      <c r="I1411" s="3" t="str">
        <f t="shared" ca="1" si="2"/>
        <v>'Southern California College',</v>
      </c>
    </row>
    <row r="1412" spans="1:9">
      <c r="A1412" s="1" t="s">
        <v>1410</v>
      </c>
      <c r="B1412" s="3" t="str">
        <f ca="1">IFERROR(__xludf.DUMMYFUNCTION("SPLIT(A1412,"","")"),"US")</f>
        <v>US</v>
      </c>
      <c r="C1412" s="3" t="str">
        <f ca="1">IFERROR(__xludf.DUMMYFUNCTION("""COMPUTED_VALUE"""),"Southern California College of Optometry")</f>
        <v>Southern California College of Optometry</v>
      </c>
      <c r="D1412" s="4" t="str">
        <f ca="1">IFERROR(__xludf.DUMMYFUNCTION("""COMPUTED_VALUE"""),"http://www.scco.edu/")</f>
        <v>http://www.scco.edu/</v>
      </c>
      <c r="G1412" s="2" t="str">
        <f t="shared" ca="1" si="0"/>
        <v>Southern California College of Optometry</v>
      </c>
      <c r="H1412" s="3" t="str">
        <f t="shared" ca="1" si="1"/>
        <v>Southern California College of Optometry</v>
      </c>
      <c r="I1412" s="3" t="str">
        <f t="shared" ca="1" si="2"/>
        <v>'Southern California College of Optometry',</v>
      </c>
    </row>
    <row r="1413" spans="1:9">
      <c r="A1413" s="1" t="s">
        <v>1411</v>
      </c>
      <c r="B1413" s="3" t="str">
        <f ca="1">IFERROR(__xludf.DUMMYFUNCTION("SPLIT(A1413,"","")"),"US")</f>
        <v>US</v>
      </c>
      <c r="C1413" s="3" t="str">
        <f ca="1">IFERROR(__xludf.DUMMYFUNCTION("""COMPUTED_VALUE"""),"Southern California Institute of Architecture")</f>
        <v>Southern California Institute of Architecture</v>
      </c>
      <c r="D1413" s="4" t="str">
        <f ca="1">IFERROR(__xludf.DUMMYFUNCTION("""COMPUTED_VALUE"""),"http://www.sciarc.edu/")</f>
        <v>http://www.sciarc.edu/</v>
      </c>
      <c r="G1413" s="2" t="str">
        <f t="shared" ca="1" si="0"/>
        <v>Southern California Institute of Architecture</v>
      </c>
      <c r="H1413" s="3" t="str">
        <f t="shared" ca="1" si="1"/>
        <v>Southern California Institute of Architecture</v>
      </c>
      <c r="I1413" s="3" t="str">
        <f t="shared" ca="1" si="2"/>
        <v>'Southern California Institute of Architecture',</v>
      </c>
    </row>
    <row r="1414" spans="1:9">
      <c r="A1414" s="1" t="s">
        <v>1412</v>
      </c>
      <c r="B1414" s="3" t="str">
        <f ca="1">IFERROR(__xludf.DUMMYFUNCTION("SPLIT(A1414,"","")"),"US")</f>
        <v>US</v>
      </c>
      <c r="C1414" s="3" t="str">
        <f ca="1">IFERROR(__xludf.DUMMYFUNCTION("""COMPUTED_VALUE"""),"Southern College of Optometry")</f>
        <v>Southern College of Optometry</v>
      </c>
      <c r="D1414" s="4" t="str">
        <f ca="1">IFERROR(__xludf.DUMMYFUNCTION("""COMPUTED_VALUE"""),"http://www.sco.edu/")</f>
        <v>http://www.sco.edu/</v>
      </c>
      <c r="G1414" s="2" t="str">
        <f t="shared" ca="1" si="0"/>
        <v>Southern College of Optometry</v>
      </c>
      <c r="H1414" s="3" t="str">
        <f t="shared" ca="1" si="1"/>
        <v>Southern College of Optometry</v>
      </c>
      <c r="I1414" s="3" t="str">
        <f t="shared" ca="1" si="2"/>
        <v>'Southern College of Optometry',</v>
      </c>
    </row>
    <row r="1415" spans="1:9">
      <c r="A1415" s="1" t="s">
        <v>1413</v>
      </c>
      <c r="B1415" s="3" t="str">
        <f ca="1">IFERROR(__xludf.DUMMYFUNCTION("SPLIT(A1415,"","")"),"US")</f>
        <v>US</v>
      </c>
      <c r="C1415" s="3" t="str">
        <f ca="1">IFERROR(__xludf.DUMMYFUNCTION("""COMPUTED_VALUE"""),"Southern Connecticut State University")</f>
        <v>Southern Connecticut State University</v>
      </c>
      <c r="D1415" s="4" t="str">
        <f ca="1">IFERROR(__xludf.DUMMYFUNCTION("""COMPUTED_VALUE"""),"http://www.scsu.ctstateu.edu/")</f>
        <v>http://www.scsu.ctstateu.edu/</v>
      </c>
      <c r="G1415" s="2" t="str">
        <f t="shared" ca="1" si="0"/>
        <v>Southern Connecticut State University</v>
      </c>
      <c r="H1415" s="3" t="str">
        <f t="shared" ca="1" si="1"/>
        <v>Southern Connecticut State University</v>
      </c>
      <c r="I1415" s="3" t="str">
        <f t="shared" ca="1" si="2"/>
        <v>'Southern Connecticut State University',</v>
      </c>
    </row>
    <row r="1416" spans="1:9">
      <c r="A1416" s="1" t="s">
        <v>1414</v>
      </c>
      <c r="B1416" s="3" t="str">
        <f ca="1">IFERROR(__xludf.DUMMYFUNCTION("SPLIT(A1416,"","")"),"US")</f>
        <v>US</v>
      </c>
      <c r="C1416" s="3" t="str">
        <f ca="1">IFERROR(__xludf.DUMMYFUNCTION("""COMPUTED_VALUE"""),"Southern Illinois University at Carbondale")</f>
        <v>Southern Illinois University at Carbondale</v>
      </c>
      <c r="D1416" s="4" t="str">
        <f ca="1">IFERROR(__xludf.DUMMYFUNCTION("""COMPUTED_VALUE"""),"http://www.siu.edu/")</f>
        <v>http://www.siu.edu/</v>
      </c>
      <c r="G1416" s="2" t="str">
        <f t="shared" ca="1" si="0"/>
        <v>Southern Illinois University at Carbondale</v>
      </c>
      <c r="H1416" s="3" t="str">
        <f t="shared" ca="1" si="1"/>
        <v>Southern Illinois University at Carbondale</v>
      </c>
      <c r="I1416" s="3" t="str">
        <f t="shared" ca="1" si="2"/>
        <v>'Southern Illinois University at Carbondale',</v>
      </c>
    </row>
    <row r="1417" spans="1:9">
      <c r="A1417" s="1" t="s">
        <v>1415</v>
      </c>
      <c r="B1417" s="3" t="str">
        <f ca="1">IFERROR(__xludf.DUMMYFUNCTION("SPLIT(A1417,"","")"),"US")</f>
        <v>US</v>
      </c>
      <c r="C1417" s="3" t="str">
        <f ca="1">IFERROR(__xludf.DUMMYFUNCTION("""COMPUTED_VALUE"""),"Southern Illinois University at Edwardsville")</f>
        <v>Southern Illinois University at Edwardsville</v>
      </c>
      <c r="D1417" s="4" t="str">
        <f ca="1">IFERROR(__xludf.DUMMYFUNCTION("""COMPUTED_VALUE"""),"http://www.siue.edu/")</f>
        <v>http://www.siue.edu/</v>
      </c>
      <c r="G1417" s="2" t="str">
        <f t="shared" ca="1" si="0"/>
        <v>Southern Illinois University at Edwardsville</v>
      </c>
      <c r="H1417" s="3" t="str">
        <f t="shared" ca="1" si="1"/>
        <v>Southern Illinois University at Edwardsville</v>
      </c>
      <c r="I1417" s="3" t="str">
        <f t="shared" ca="1" si="2"/>
        <v>'Southern Illinois University at Edwardsville',</v>
      </c>
    </row>
    <row r="1418" spans="1:9">
      <c r="A1418" s="1" t="s">
        <v>1416</v>
      </c>
      <c r="B1418" s="3" t="str">
        <f ca="1">IFERROR(__xludf.DUMMYFUNCTION("SPLIT(A1418,"","")"),"US")</f>
        <v>US</v>
      </c>
      <c r="C1418" s="3" t="str">
        <f ca="1">IFERROR(__xludf.DUMMYFUNCTION("""COMPUTED_VALUE"""),"Southern Methodist University")</f>
        <v>Southern Methodist University</v>
      </c>
      <c r="D1418" s="4" t="str">
        <f ca="1">IFERROR(__xludf.DUMMYFUNCTION("""COMPUTED_VALUE"""),"http://www.smu.edu/")</f>
        <v>http://www.smu.edu/</v>
      </c>
      <c r="G1418" s="2" t="str">
        <f t="shared" ca="1" si="0"/>
        <v>Southern Methodist University</v>
      </c>
      <c r="H1418" s="3" t="str">
        <f t="shared" ca="1" si="1"/>
        <v>Southern Methodist University</v>
      </c>
      <c r="I1418" s="3" t="str">
        <f t="shared" ca="1" si="2"/>
        <v>'Southern Methodist University',</v>
      </c>
    </row>
    <row r="1419" spans="1:9">
      <c r="A1419" s="1" t="s">
        <v>1417</v>
      </c>
      <c r="B1419" s="3" t="str">
        <f ca="1">IFERROR(__xludf.DUMMYFUNCTION("SPLIT(A1419,"","")"),"US")</f>
        <v>US</v>
      </c>
      <c r="C1419" s="3" t="str">
        <f ca="1">IFERROR(__xludf.DUMMYFUNCTION("""COMPUTED_VALUE"""),"Southern Nazarene University")</f>
        <v>Southern Nazarene University</v>
      </c>
      <c r="D1419" s="4" t="str">
        <f ca="1">IFERROR(__xludf.DUMMYFUNCTION("""COMPUTED_VALUE"""),"http://www.snu.edu/")</f>
        <v>http://www.snu.edu/</v>
      </c>
      <c r="G1419" s="2" t="str">
        <f t="shared" ca="1" si="0"/>
        <v>Southern Nazarene University</v>
      </c>
      <c r="H1419" s="3" t="str">
        <f t="shared" ca="1" si="1"/>
        <v>Southern Nazarene University</v>
      </c>
      <c r="I1419" s="3" t="str">
        <f t="shared" ca="1" si="2"/>
        <v>'Southern Nazarene University',</v>
      </c>
    </row>
    <row r="1420" spans="1:9">
      <c r="A1420" s="1" t="s">
        <v>1418</v>
      </c>
      <c r="B1420" s="3" t="str">
        <f ca="1">IFERROR(__xludf.DUMMYFUNCTION("SPLIT(A1420,"","")"),"US")</f>
        <v>US</v>
      </c>
      <c r="C1420" s="3" t="str">
        <f ca="1">IFERROR(__xludf.DUMMYFUNCTION("""COMPUTED_VALUE"""),"Southern New Hampshire University")</f>
        <v>Southern New Hampshire University</v>
      </c>
      <c r="D1420" s="4" t="str">
        <f ca="1">IFERROR(__xludf.DUMMYFUNCTION("""COMPUTED_VALUE"""),"http://www.snhu.edu/")</f>
        <v>http://www.snhu.edu/</v>
      </c>
      <c r="G1420" s="2" t="str">
        <f t="shared" ca="1" si="0"/>
        <v>Southern New Hampshire University</v>
      </c>
      <c r="H1420" s="3" t="str">
        <f t="shared" ca="1" si="1"/>
        <v>Southern New Hampshire University</v>
      </c>
      <c r="I1420" s="3" t="str">
        <f t="shared" ca="1" si="2"/>
        <v>'Southern New Hampshire University',</v>
      </c>
    </row>
    <row r="1421" spans="1:9">
      <c r="A1421" s="1" t="s">
        <v>1419</v>
      </c>
      <c r="B1421" s="3" t="str">
        <f ca="1">IFERROR(__xludf.DUMMYFUNCTION("SPLIT(A1421,"","")"),"US")</f>
        <v>US</v>
      </c>
      <c r="C1421" s="3" t="str">
        <f ca="1">IFERROR(__xludf.DUMMYFUNCTION("""COMPUTED_VALUE"""),"Southern Oregon University")</f>
        <v>Southern Oregon University</v>
      </c>
      <c r="D1421" s="4" t="str">
        <f ca="1">IFERROR(__xludf.DUMMYFUNCTION("""COMPUTED_VALUE"""),"http://www.sou.edu/")</f>
        <v>http://www.sou.edu/</v>
      </c>
      <c r="G1421" s="2" t="str">
        <f t="shared" ca="1" si="0"/>
        <v>Southern Oregon University</v>
      </c>
      <c r="H1421" s="3" t="str">
        <f t="shared" ca="1" si="1"/>
        <v>Southern Oregon University</v>
      </c>
      <c r="I1421" s="3" t="str">
        <f t="shared" ca="1" si="2"/>
        <v>'Southern Oregon University',</v>
      </c>
    </row>
    <row r="1422" spans="1:9">
      <c r="A1422" s="1" t="s">
        <v>1420</v>
      </c>
      <c r="B1422" s="3" t="str">
        <f ca="1">IFERROR(__xludf.DUMMYFUNCTION("SPLIT(A1422,"","")"),"US")</f>
        <v>US</v>
      </c>
      <c r="C1422" s="3" t="str">
        <f ca="1">IFERROR(__xludf.DUMMYFUNCTION("""COMPUTED_VALUE"""),"Southern Polytechnic State Univerisity")</f>
        <v>Southern Polytechnic State Univerisity</v>
      </c>
      <c r="D1422" s="4" t="str">
        <f ca="1">IFERROR(__xludf.DUMMYFUNCTION("""COMPUTED_VALUE"""),"http://www.spsu.edu/")</f>
        <v>http://www.spsu.edu/</v>
      </c>
      <c r="G1422" s="2" t="str">
        <f t="shared" ca="1" si="0"/>
        <v>Southern Polytechnic State Univerisity</v>
      </c>
      <c r="H1422" s="3" t="str">
        <f t="shared" ca="1" si="1"/>
        <v>Southern Polytechnic State Univerisity</v>
      </c>
      <c r="I1422" s="3" t="str">
        <f t="shared" ca="1" si="2"/>
        <v>'Southern Polytechnic State Univerisity',</v>
      </c>
    </row>
    <row r="1423" spans="1:9">
      <c r="A1423" s="1" t="s">
        <v>1421</v>
      </c>
      <c r="B1423" s="3" t="str">
        <f ca="1">IFERROR(__xludf.DUMMYFUNCTION("SPLIT(A1423,"","")"),"US")</f>
        <v>US</v>
      </c>
      <c r="C1423" s="3" t="str">
        <f ca="1">IFERROR(__xludf.DUMMYFUNCTION("""COMPUTED_VALUE"""),"Southern University - Baton Rouge")</f>
        <v>Southern University - Baton Rouge</v>
      </c>
      <c r="D1423" s="4" t="str">
        <f ca="1">IFERROR(__xludf.DUMMYFUNCTION("""COMPUTED_VALUE"""),"http://www.subr.edu/")</f>
        <v>http://www.subr.edu/</v>
      </c>
      <c r="G1423" s="2" t="str">
        <f t="shared" ca="1" si="0"/>
        <v>Southern University - Baton Rouge</v>
      </c>
      <c r="H1423" s="3" t="str">
        <f t="shared" ca="1" si="1"/>
        <v>Southern University - Baton Rouge</v>
      </c>
      <c r="I1423" s="3" t="str">
        <f t="shared" ca="1" si="2"/>
        <v>'Southern University - Baton Rouge',</v>
      </c>
    </row>
    <row r="1424" spans="1:9">
      <c r="A1424" s="1" t="s">
        <v>1422</v>
      </c>
      <c r="B1424" s="3" t="str">
        <f ca="1">IFERROR(__xludf.DUMMYFUNCTION("SPLIT(A1424,"","")"),"US")</f>
        <v>US</v>
      </c>
      <c r="C1424" s="3" t="str">
        <f ca="1">IFERROR(__xludf.DUMMYFUNCTION("""COMPUTED_VALUE"""),"Southern University - New Orleans")</f>
        <v>Southern University - New Orleans</v>
      </c>
      <c r="D1424" s="4" t="str">
        <f ca="1">IFERROR(__xludf.DUMMYFUNCTION("""COMPUTED_VALUE"""),"http://www.suno.edu/")</f>
        <v>http://www.suno.edu/</v>
      </c>
      <c r="G1424" s="2" t="str">
        <f t="shared" ca="1" si="0"/>
        <v>Southern University - New Orleans</v>
      </c>
      <c r="H1424" s="3" t="str">
        <f t="shared" ca="1" si="1"/>
        <v>Southern University - New Orleans</v>
      </c>
      <c r="I1424" s="3" t="str">
        <f t="shared" ca="1" si="2"/>
        <v>'Southern University - New Orleans',</v>
      </c>
    </row>
    <row r="1425" spans="1:9">
      <c r="A1425" s="1" t="s">
        <v>1423</v>
      </c>
      <c r="B1425" s="3" t="str">
        <f ca="1">IFERROR(__xludf.DUMMYFUNCTION("SPLIT(A1425,"","")"),"US")</f>
        <v>US</v>
      </c>
      <c r="C1425" s="3" t="str">
        <f ca="1">IFERROR(__xludf.DUMMYFUNCTION("""COMPUTED_VALUE"""),"Southern University - Shreveport")</f>
        <v>Southern University - Shreveport</v>
      </c>
      <c r="D1425" s="4" t="str">
        <f ca="1">IFERROR(__xludf.DUMMYFUNCTION("""COMPUTED_VALUE"""),"http://www.susla.edu/")</f>
        <v>http://www.susla.edu/</v>
      </c>
      <c r="G1425" s="2" t="str">
        <f t="shared" ca="1" si="0"/>
        <v>Southern University - Shreveport</v>
      </c>
      <c r="H1425" s="3" t="str">
        <f t="shared" ca="1" si="1"/>
        <v>Southern University - Shreveport</v>
      </c>
      <c r="I1425" s="3" t="str">
        <f t="shared" ca="1" si="2"/>
        <v>'Southern University - Shreveport',</v>
      </c>
    </row>
    <row r="1426" spans="1:9">
      <c r="A1426" s="1" t="s">
        <v>1424</v>
      </c>
      <c r="B1426" s="3" t="str">
        <f ca="1">IFERROR(__xludf.DUMMYFUNCTION("SPLIT(A1426,"","")"),"US")</f>
        <v>US</v>
      </c>
      <c r="C1426" s="3" t="str">
        <f ca="1">IFERROR(__xludf.DUMMYFUNCTION("""COMPUTED_VALUE"""),"Southern Utah University")</f>
        <v>Southern Utah University</v>
      </c>
      <c r="D1426" s="4" t="str">
        <f ca="1">IFERROR(__xludf.DUMMYFUNCTION("""COMPUTED_VALUE"""),"http://www.suu.edu/")</f>
        <v>http://www.suu.edu/</v>
      </c>
      <c r="G1426" s="2" t="str">
        <f t="shared" ca="1" si="0"/>
        <v>Southern Utah University</v>
      </c>
      <c r="H1426" s="3" t="str">
        <f t="shared" ca="1" si="1"/>
        <v>Southern Utah University</v>
      </c>
      <c r="I1426" s="3" t="str">
        <f t="shared" ca="1" si="2"/>
        <v>'Southern Utah University',</v>
      </c>
    </row>
    <row r="1427" spans="1:9">
      <c r="A1427" s="1" t="s">
        <v>1425</v>
      </c>
      <c r="B1427" s="3" t="str">
        <f ca="1">IFERROR(__xludf.DUMMYFUNCTION("SPLIT(A1427,"","")"),"US")</f>
        <v>US</v>
      </c>
      <c r="C1427" s="3" t="str">
        <f ca="1">IFERROR(__xludf.DUMMYFUNCTION("""COMPUTED_VALUE"""),"Southern Vermont College")</f>
        <v>Southern Vermont College</v>
      </c>
      <c r="D1427" s="4" t="str">
        <f ca="1">IFERROR(__xludf.DUMMYFUNCTION("""COMPUTED_VALUE"""),"http://www.svc.edu/")</f>
        <v>http://www.svc.edu/</v>
      </c>
      <c r="G1427" s="2" t="str">
        <f t="shared" ca="1" si="0"/>
        <v>Southern Vermont College</v>
      </c>
      <c r="H1427" s="3" t="str">
        <f t="shared" ca="1" si="1"/>
        <v>Southern Vermont College</v>
      </c>
      <c r="I1427" s="3" t="str">
        <f t="shared" ca="1" si="2"/>
        <v>'Southern Vermont College',</v>
      </c>
    </row>
    <row r="1428" spans="1:9">
      <c r="A1428" s="1" t="s">
        <v>1426</v>
      </c>
      <c r="B1428" s="3" t="str">
        <f ca="1">IFERROR(__xludf.DUMMYFUNCTION("SPLIT(A1428,"","")"),"US")</f>
        <v>US</v>
      </c>
      <c r="C1428" s="3" t="str">
        <f ca="1">IFERROR(__xludf.DUMMYFUNCTION("""COMPUTED_VALUE"""),"Southern Wesleyan University")</f>
        <v>Southern Wesleyan University</v>
      </c>
      <c r="D1428" s="4" t="str">
        <f ca="1">IFERROR(__xludf.DUMMYFUNCTION("""COMPUTED_VALUE"""),"http://www.swu.edu/")</f>
        <v>http://www.swu.edu/</v>
      </c>
      <c r="G1428" s="2" t="str">
        <f t="shared" ca="1" si="0"/>
        <v>Southern Wesleyan University</v>
      </c>
      <c r="H1428" s="3" t="str">
        <f t="shared" ca="1" si="1"/>
        <v>Southern Wesleyan University</v>
      </c>
      <c r="I1428" s="3" t="str">
        <f t="shared" ca="1" si="2"/>
        <v>'Southern Wesleyan University',</v>
      </c>
    </row>
    <row r="1429" spans="1:9">
      <c r="A1429" s="1" t="s">
        <v>1427</v>
      </c>
      <c r="B1429" s="3" t="str">
        <f ca="1">IFERROR(__xludf.DUMMYFUNCTION("SPLIT(A1429,"","")"),"US")</f>
        <v>US</v>
      </c>
      <c r="C1429" s="3" t="str">
        <f ca="1">IFERROR(__xludf.DUMMYFUNCTION("""COMPUTED_VALUE"""),"South Florida Bible College &amp; Theological Seminary")</f>
        <v>South Florida Bible College &amp; Theological Seminary</v>
      </c>
      <c r="D1429" s="4" t="str">
        <f ca="1">IFERROR(__xludf.DUMMYFUNCTION("""COMPUTED_VALUE"""),"http://www.sfbc.edu/")</f>
        <v>http://www.sfbc.edu/</v>
      </c>
      <c r="G1429" s="2" t="str">
        <f t="shared" ca="1" si="0"/>
        <v>South Florida Bible College &amp; Theological Seminary</v>
      </c>
      <c r="H1429" s="3" t="str">
        <f t="shared" ca="1" si="1"/>
        <v>South Florida Bible College &amp; Theological Seminary</v>
      </c>
      <c r="I1429" s="3" t="str">
        <f t="shared" ca="1" si="2"/>
        <v>'South Florida Bible College &amp; Theological Seminary',</v>
      </c>
    </row>
    <row r="1430" spans="1:9">
      <c r="A1430" s="1" t="s">
        <v>1428</v>
      </c>
      <c r="B1430" s="3" t="str">
        <f ca="1">IFERROR(__xludf.DUMMYFUNCTION("SPLIT(A1430,"","")"),"US")</f>
        <v>US</v>
      </c>
      <c r="C1430" s="3" t="str">
        <f ca="1">IFERROR(__xludf.DUMMYFUNCTION("""COMPUTED_VALUE"""),"South Texas College of Law")</f>
        <v>South Texas College of Law</v>
      </c>
      <c r="D1430" s="4" t="str">
        <f ca="1">IFERROR(__xludf.DUMMYFUNCTION("""COMPUTED_VALUE"""),"http://www.stcl.edu/")</f>
        <v>http://www.stcl.edu/</v>
      </c>
      <c r="G1430" s="2" t="str">
        <f t="shared" ca="1" si="0"/>
        <v>South Texas College of Law</v>
      </c>
      <c r="H1430" s="3" t="str">
        <f t="shared" ca="1" si="1"/>
        <v>South Texas College of Law</v>
      </c>
      <c r="I1430" s="3" t="str">
        <f t="shared" ca="1" si="2"/>
        <v>'South Texas College of Law',</v>
      </c>
    </row>
    <row r="1431" spans="1:9">
      <c r="A1431" s="1" t="s">
        <v>1429</v>
      </c>
      <c r="B1431" s="3" t="str">
        <f ca="1">IFERROR(__xludf.DUMMYFUNCTION("SPLIT(A1431,"","")"),"US")</f>
        <v>US</v>
      </c>
      <c r="C1431" s="3" t="str">
        <f ca="1">IFERROR(__xludf.DUMMYFUNCTION("""COMPUTED_VALUE"""),"Southwest Baptist University")</f>
        <v>Southwest Baptist University</v>
      </c>
      <c r="D1431" s="4" t="str">
        <f ca="1">IFERROR(__xludf.DUMMYFUNCTION("""COMPUTED_VALUE"""),"http://www.sbuniv.edu/")</f>
        <v>http://www.sbuniv.edu/</v>
      </c>
      <c r="G1431" s="2" t="str">
        <f t="shared" ca="1" si="0"/>
        <v>Southwest Baptist University</v>
      </c>
      <c r="H1431" s="3" t="str">
        <f t="shared" ca="1" si="1"/>
        <v>Southwest Baptist University</v>
      </c>
      <c r="I1431" s="3" t="str">
        <f t="shared" ca="1" si="2"/>
        <v>'Southwest Baptist University',</v>
      </c>
    </row>
    <row r="1432" spans="1:9">
      <c r="A1432" s="1" t="s">
        <v>1430</v>
      </c>
      <c r="B1432" s="3" t="str">
        <f ca="1">IFERROR(__xludf.DUMMYFUNCTION("SPLIT(A1432,"","")"),"US")</f>
        <v>US</v>
      </c>
      <c r="C1432" s="3" t="str">
        <f ca="1">IFERROR(__xludf.DUMMYFUNCTION("""COMPUTED_VALUE"""),"Southwestern Adventist University")</f>
        <v>Southwestern Adventist University</v>
      </c>
      <c r="D1432" s="4" t="str">
        <f ca="1">IFERROR(__xludf.DUMMYFUNCTION("""COMPUTED_VALUE"""),"http://www.swau.edu/")</f>
        <v>http://www.swau.edu/</v>
      </c>
      <c r="G1432" s="2" t="str">
        <f t="shared" ca="1" si="0"/>
        <v>Southwestern Adventist University</v>
      </c>
      <c r="H1432" s="3" t="str">
        <f t="shared" ca="1" si="1"/>
        <v>Southwestern Adventist University</v>
      </c>
      <c r="I1432" s="3" t="str">
        <f t="shared" ca="1" si="2"/>
        <v>'Southwestern Adventist University',</v>
      </c>
    </row>
    <row r="1433" spans="1:9">
      <c r="A1433" s="1" t="s">
        <v>1431</v>
      </c>
      <c r="B1433" s="3" t="str">
        <f ca="1">IFERROR(__xludf.DUMMYFUNCTION("SPLIT(A1433,"","")"),"US")</f>
        <v>US</v>
      </c>
      <c r="C1433" s="3" t="str">
        <f ca="1">IFERROR(__xludf.DUMMYFUNCTION("""COMPUTED_VALUE"""),"Southwestern Assemblies of God University")</f>
        <v>Southwestern Assemblies of God University</v>
      </c>
      <c r="D1433" s="4" t="str">
        <f ca="1">IFERROR(__xludf.DUMMYFUNCTION("""COMPUTED_VALUE"""),"http://www.sagu.edu/")</f>
        <v>http://www.sagu.edu/</v>
      </c>
      <c r="G1433" s="2" t="str">
        <f t="shared" ca="1" si="0"/>
        <v>Southwestern Assemblies of God University</v>
      </c>
      <c r="H1433" s="3" t="str">
        <f t="shared" ca="1" si="1"/>
        <v>Southwestern Assemblies of God University</v>
      </c>
      <c r="I1433" s="3" t="str">
        <f t="shared" ca="1" si="2"/>
        <v>'Southwestern Assemblies of God University',</v>
      </c>
    </row>
    <row r="1434" spans="1:9">
      <c r="A1434" s="1" t="s">
        <v>1432</v>
      </c>
      <c r="B1434" s="3" t="str">
        <f ca="1">IFERROR(__xludf.DUMMYFUNCTION("SPLIT(A1434,"","")"),"US")</f>
        <v>US</v>
      </c>
      <c r="C1434" s="3" t="str">
        <f ca="1">IFERROR(__xludf.DUMMYFUNCTION("""COMPUTED_VALUE"""),"Southwestern Baptist Theological Seminary")</f>
        <v>Southwestern Baptist Theological Seminary</v>
      </c>
      <c r="D1434" s="4" t="str">
        <f ca="1">IFERROR(__xludf.DUMMYFUNCTION("""COMPUTED_VALUE"""),"http://www.swbts.edu/")</f>
        <v>http://www.swbts.edu/</v>
      </c>
      <c r="G1434" s="2" t="str">
        <f t="shared" ca="1" si="0"/>
        <v>Southwestern Baptist Theological Seminary</v>
      </c>
      <c r="H1434" s="3" t="str">
        <f t="shared" ca="1" si="1"/>
        <v>Southwestern Baptist Theological Seminary</v>
      </c>
      <c r="I1434" s="3" t="str">
        <f t="shared" ca="1" si="2"/>
        <v>'Southwestern Baptist Theological Seminary',</v>
      </c>
    </row>
    <row r="1435" spans="1:9">
      <c r="A1435" s="1" t="s">
        <v>1433</v>
      </c>
      <c r="B1435" s="3" t="str">
        <f ca="1">IFERROR(__xludf.DUMMYFUNCTION("SPLIT(A1435,"","")"),"US")</f>
        <v>US</v>
      </c>
      <c r="C1435" s="3" t="str">
        <f ca="1">IFERROR(__xludf.DUMMYFUNCTION("""COMPUTED_VALUE"""),"Southwestern Christian College")</f>
        <v>Southwestern Christian College</v>
      </c>
      <c r="D1435" s="4" t="str">
        <f ca="1">IFERROR(__xludf.DUMMYFUNCTION("""COMPUTED_VALUE"""),"http://www.soulsociety.com/swcc.html")</f>
        <v>http://www.soulsociety.com/swcc.html</v>
      </c>
      <c r="G1435" s="2" t="str">
        <f t="shared" ca="1" si="0"/>
        <v>Southwestern Christian College</v>
      </c>
      <c r="H1435" s="3" t="str">
        <f t="shared" ca="1" si="1"/>
        <v>Southwestern Christian College</v>
      </c>
      <c r="I1435" s="3" t="str">
        <f t="shared" ca="1" si="2"/>
        <v>'Southwestern Christian College',</v>
      </c>
    </row>
    <row r="1436" spans="1:9">
      <c r="A1436" s="1" t="s">
        <v>1434</v>
      </c>
      <c r="B1436" s="3" t="str">
        <f ca="1">IFERROR(__xludf.DUMMYFUNCTION("SPLIT(A1436,"","")"),"US")</f>
        <v>US</v>
      </c>
      <c r="C1436" s="3" t="str">
        <f ca="1">IFERROR(__xludf.DUMMYFUNCTION("""COMPUTED_VALUE"""),"Southwestern Christian University")</f>
        <v>Southwestern Christian University</v>
      </c>
      <c r="D1436" s="4" t="str">
        <f ca="1">IFERROR(__xludf.DUMMYFUNCTION("""COMPUTED_VALUE"""),"http://www.swcu.edu/")</f>
        <v>http://www.swcu.edu/</v>
      </c>
      <c r="G1436" s="2" t="str">
        <f t="shared" ca="1" si="0"/>
        <v>Southwestern Christian University</v>
      </c>
      <c r="H1436" s="3" t="str">
        <f t="shared" ca="1" si="1"/>
        <v>Southwestern Christian University</v>
      </c>
      <c r="I1436" s="3" t="str">
        <f t="shared" ca="1" si="2"/>
        <v>'Southwestern Christian University',</v>
      </c>
    </row>
    <row r="1437" spans="1:9">
      <c r="A1437" s="1" t="s">
        <v>1435</v>
      </c>
      <c r="B1437" s="3" t="str">
        <f ca="1">IFERROR(__xludf.DUMMYFUNCTION("SPLIT(A1437,"","")"),"US")</f>
        <v>US</v>
      </c>
      <c r="C1437" s="3" t="str">
        <f ca="1">IFERROR(__xludf.DUMMYFUNCTION("""COMPUTED_VALUE"""),"Southwestern College Kansas")</f>
        <v>Southwestern College Kansas</v>
      </c>
      <c r="D1437" s="4" t="str">
        <f ca="1">IFERROR(__xludf.DUMMYFUNCTION("""COMPUTED_VALUE"""),"http://www.sckans.edu/")</f>
        <v>http://www.sckans.edu/</v>
      </c>
      <c r="G1437" s="2" t="str">
        <f t="shared" ca="1" si="0"/>
        <v>Southwestern College Kansas</v>
      </c>
      <c r="H1437" s="3" t="str">
        <f t="shared" ca="1" si="1"/>
        <v>Southwestern College Kansas</v>
      </c>
      <c r="I1437" s="3" t="str">
        <f t="shared" ca="1" si="2"/>
        <v>'Southwestern College Kansas',</v>
      </c>
    </row>
    <row r="1438" spans="1:9">
      <c r="A1438" s="1" t="s">
        <v>1436</v>
      </c>
      <c r="B1438" s="3" t="str">
        <f ca="1">IFERROR(__xludf.DUMMYFUNCTION("SPLIT(A1438,"","")"),"US")</f>
        <v>US</v>
      </c>
      <c r="C1438" s="3" t="str">
        <f ca="1">IFERROR(__xludf.DUMMYFUNCTION("""COMPUTED_VALUE"""),"Southwestern College Santa Fe")</f>
        <v>Southwestern College Santa Fe</v>
      </c>
      <c r="D1438" s="4" t="str">
        <f ca="1">IFERROR(__xludf.DUMMYFUNCTION("""COMPUTED_VALUE"""),"http://www.swc.edu/")</f>
        <v>http://www.swc.edu/</v>
      </c>
      <c r="G1438" s="2" t="str">
        <f t="shared" ca="1" si="0"/>
        <v>Southwestern College Santa Fe</v>
      </c>
      <c r="H1438" s="3" t="str">
        <f t="shared" ca="1" si="1"/>
        <v>Southwestern College Santa Fe</v>
      </c>
      <c r="I1438" s="3" t="str">
        <f t="shared" ca="1" si="2"/>
        <v>'Southwestern College Santa Fe',</v>
      </c>
    </row>
    <row r="1439" spans="1:9">
      <c r="A1439" s="1" t="s">
        <v>1437</v>
      </c>
      <c r="B1439" s="3" t="str">
        <f ca="1">IFERROR(__xludf.DUMMYFUNCTION("SPLIT(A1439,"","")"),"US")</f>
        <v>US</v>
      </c>
      <c r="C1439" s="3" t="str">
        <f ca="1">IFERROR(__xludf.DUMMYFUNCTION("""COMPUTED_VALUE"""),"Southwestern Oklahoma State University")</f>
        <v>Southwestern Oklahoma State University</v>
      </c>
      <c r="D1439" s="4" t="str">
        <f ca="1">IFERROR(__xludf.DUMMYFUNCTION("""COMPUTED_VALUE"""),"http://www.swosu.edu/")</f>
        <v>http://www.swosu.edu/</v>
      </c>
      <c r="G1439" s="2" t="str">
        <f t="shared" ca="1" si="0"/>
        <v>Southwestern Oklahoma State University</v>
      </c>
      <c r="H1439" s="3" t="str">
        <f t="shared" ca="1" si="1"/>
        <v>Southwestern Oklahoma State University</v>
      </c>
      <c r="I1439" s="3" t="str">
        <f t="shared" ca="1" si="2"/>
        <v>'Southwestern Oklahoma State University',</v>
      </c>
    </row>
    <row r="1440" spans="1:9">
      <c r="A1440" s="1" t="s">
        <v>1438</v>
      </c>
      <c r="B1440" s="3" t="str">
        <f ca="1">IFERROR(__xludf.DUMMYFUNCTION("SPLIT(A1440,"","")"),"US")</f>
        <v>US</v>
      </c>
      <c r="C1440" s="3" t="str">
        <f ca="1">IFERROR(__xludf.DUMMYFUNCTION("""COMPUTED_VALUE"""),"Southwestern University")</f>
        <v>Southwestern University</v>
      </c>
      <c r="D1440" s="4" t="str">
        <f ca="1">IFERROR(__xludf.DUMMYFUNCTION("""COMPUTED_VALUE"""),"http://www.southwestern.edu/")</f>
        <v>http://www.southwestern.edu/</v>
      </c>
      <c r="G1440" s="2" t="str">
        <f t="shared" ca="1" si="0"/>
        <v>Southwestern University</v>
      </c>
      <c r="H1440" s="3" t="str">
        <f t="shared" ca="1" si="1"/>
        <v>Southwestern University</v>
      </c>
      <c r="I1440" s="3" t="str">
        <f t="shared" ca="1" si="2"/>
        <v>'Southwestern University',</v>
      </c>
    </row>
    <row r="1441" spans="1:9">
      <c r="A1441" s="1" t="s">
        <v>1439</v>
      </c>
      <c r="B1441" s="3" t="str">
        <f ca="1">IFERROR(__xludf.DUMMYFUNCTION("SPLIT(A1441,"","")"),"US")</f>
        <v>US</v>
      </c>
      <c r="C1441" s="3" t="str">
        <f ca="1">IFERROR(__xludf.DUMMYFUNCTION("""COMPUTED_VALUE"""),"Southwestern University School of Law")</f>
        <v>Southwestern University School of Law</v>
      </c>
      <c r="D1441" s="4" t="str">
        <f ca="1">IFERROR(__xludf.DUMMYFUNCTION("""COMPUTED_VALUE"""),"http://www.swlaw.edu/")</f>
        <v>http://www.swlaw.edu/</v>
      </c>
      <c r="G1441" s="2" t="str">
        <f t="shared" ca="1" si="0"/>
        <v>Southwestern University School of Law</v>
      </c>
      <c r="H1441" s="3" t="str">
        <f t="shared" ca="1" si="1"/>
        <v>Southwestern University School of Law</v>
      </c>
      <c r="I1441" s="3" t="str">
        <f t="shared" ca="1" si="2"/>
        <v>'Southwestern University School of Law',</v>
      </c>
    </row>
    <row r="1442" spans="1:9">
      <c r="A1442" s="1" t="s">
        <v>1440</v>
      </c>
      <c r="B1442" s="3" t="str">
        <f ca="1">IFERROR(__xludf.DUMMYFUNCTION("SPLIT(A1442,"","")"),"US")</f>
        <v>US</v>
      </c>
      <c r="C1442" s="3" t="str">
        <f ca="1">IFERROR(__xludf.DUMMYFUNCTION("""COMPUTED_VALUE"""),"Southwest Missouri State University")</f>
        <v>Southwest Missouri State University</v>
      </c>
      <c r="D1442" s="4" t="str">
        <f ca="1">IFERROR(__xludf.DUMMYFUNCTION("""COMPUTED_VALUE"""),"http://www.smsu.edu/")</f>
        <v>http://www.smsu.edu/</v>
      </c>
      <c r="G1442" s="2" t="str">
        <f t="shared" ca="1" si="0"/>
        <v>Southwest Missouri State University</v>
      </c>
      <c r="H1442" s="3" t="str">
        <f t="shared" ca="1" si="1"/>
        <v>Southwest Missouri State University</v>
      </c>
      <c r="I1442" s="3" t="str">
        <f t="shared" ca="1" si="2"/>
        <v>'Southwest Missouri State University',</v>
      </c>
    </row>
    <row r="1443" spans="1:9">
      <c r="A1443" s="1" t="s">
        <v>1441</v>
      </c>
      <c r="B1443" s="3" t="str">
        <f ca="1">IFERROR(__xludf.DUMMYFUNCTION("SPLIT(A1443,"","")"),"US")</f>
        <v>US</v>
      </c>
      <c r="C1443" s="3" t="str">
        <f ca="1">IFERROR(__xludf.DUMMYFUNCTION("""COMPUTED_VALUE"""),"Southwest Missouri State University - West Plains")</f>
        <v>Southwest Missouri State University - West Plains</v>
      </c>
      <c r="D1443" s="4" t="str">
        <f ca="1">IFERROR(__xludf.DUMMYFUNCTION("""COMPUTED_VALUE"""),"http://www.wp.smsu.edu/")</f>
        <v>http://www.wp.smsu.edu/</v>
      </c>
      <c r="G1443" s="2" t="str">
        <f t="shared" ca="1" si="0"/>
        <v>Southwest Missouri State University - West Plains</v>
      </c>
      <c r="H1443" s="3" t="str">
        <f t="shared" ca="1" si="1"/>
        <v>Southwest Missouri State University - West Plains</v>
      </c>
      <c r="I1443" s="3" t="str">
        <f t="shared" ca="1" si="2"/>
        <v>'Southwest Missouri State University - West Plains',</v>
      </c>
    </row>
    <row r="1444" spans="1:9">
      <c r="A1444" s="1" t="s">
        <v>1442</v>
      </c>
      <c r="B1444" s="3" t="str">
        <f ca="1">IFERROR(__xludf.DUMMYFUNCTION("SPLIT(A1444,"","")"),"US")</f>
        <v>US</v>
      </c>
      <c r="C1444" s="3" t="str">
        <f ca="1">IFERROR(__xludf.DUMMYFUNCTION("""COMPUTED_VALUE"""),"Southwest State University")</f>
        <v>Southwest State University</v>
      </c>
      <c r="D1444" s="4" t="str">
        <f ca="1">IFERROR(__xludf.DUMMYFUNCTION("""COMPUTED_VALUE"""),"http://www.southwest.msus.edu/")</f>
        <v>http://www.southwest.msus.edu/</v>
      </c>
      <c r="G1444" s="2" t="str">
        <f t="shared" ca="1" si="0"/>
        <v>Southwest State University</v>
      </c>
      <c r="H1444" s="3" t="str">
        <f t="shared" ca="1" si="1"/>
        <v>Southwest State University</v>
      </c>
      <c r="I1444" s="3" t="str">
        <f t="shared" ca="1" si="2"/>
        <v>'Southwest State University',</v>
      </c>
    </row>
    <row r="1445" spans="1:9">
      <c r="A1445" s="1" t="s">
        <v>1443</v>
      </c>
      <c r="B1445" s="3" t="str">
        <f ca="1">IFERROR(__xludf.DUMMYFUNCTION("SPLIT(A1445,"","")"),"US")</f>
        <v>US</v>
      </c>
      <c r="C1445" s="3" t="str">
        <f ca="1">IFERROR(__xludf.DUMMYFUNCTION("""COMPUTED_VALUE"""),"Southwest Texas State University")</f>
        <v>Southwest Texas State University</v>
      </c>
      <c r="D1445" s="4" t="str">
        <f ca="1">IFERROR(__xludf.DUMMYFUNCTION("""COMPUTED_VALUE"""),"http://www.swt.edu/")</f>
        <v>http://www.swt.edu/</v>
      </c>
      <c r="G1445" s="2" t="str">
        <f t="shared" ca="1" si="0"/>
        <v>Southwest Texas State University</v>
      </c>
      <c r="H1445" s="3" t="str">
        <f t="shared" ca="1" si="1"/>
        <v>Southwest Texas State University</v>
      </c>
      <c r="I1445" s="3" t="str">
        <f t="shared" ca="1" si="2"/>
        <v>'Southwest Texas State University',</v>
      </c>
    </row>
    <row r="1446" spans="1:9">
      <c r="A1446" s="1" t="s">
        <v>1444</v>
      </c>
      <c r="B1446" s="3" t="str">
        <f ca="1">IFERROR(__xludf.DUMMYFUNCTION("SPLIT(A1446,"","")"),"US")</f>
        <v>US</v>
      </c>
      <c r="C1446" s="3" t="str">
        <f ca="1">IFERROR(__xludf.DUMMYFUNCTION("""COMPUTED_VALUE"""),"Southwest University")</f>
        <v>Southwest University</v>
      </c>
      <c r="D1446" s="4" t="str">
        <f ca="1">IFERROR(__xludf.DUMMYFUNCTION("""COMPUTED_VALUE"""),"http://www.southwest.edu/")</f>
        <v>http://www.southwest.edu/</v>
      </c>
      <c r="G1446" s="2" t="str">
        <f t="shared" ca="1" si="0"/>
        <v>Southwest University</v>
      </c>
      <c r="H1446" s="3" t="str">
        <f t="shared" ca="1" si="1"/>
        <v>Southwest University</v>
      </c>
      <c r="I1446" s="3" t="str">
        <f t="shared" ca="1" si="2"/>
        <v>'Southwest University',</v>
      </c>
    </row>
    <row r="1447" spans="1:9">
      <c r="A1447" s="1" t="s">
        <v>1445</v>
      </c>
      <c r="B1447" s="3" t="str">
        <f ca="1">IFERROR(__xludf.DUMMYFUNCTION("SPLIT(A1447,"","")"),"US")</f>
        <v>US</v>
      </c>
      <c r="C1447" s="3" t="str">
        <f ca="1">IFERROR(__xludf.DUMMYFUNCTION("""COMPUTED_VALUE"""),"Spalding University")</f>
        <v>Spalding University</v>
      </c>
      <c r="D1447" s="4" t="str">
        <f ca="1">IFERROR(__xludf.DUMMYFUNCTION("""COMPUTED_VALUE"""),"http://www.spalding.edu/")</f>
        <v>http://www.spalding.edu/</v>
      </c>
      <c r="G1447" s="2" t="str">
        <f t="shared" ca="1" si="0"/>
        <v>Spalding University</v>
      </c>
      <c r="H1447" s="3" t="str">
        <f t="shared" ca="1" si="1"/>
        <v>Spalding University</v>
      </c>
      <c r="I1447" s="3" t="str">
        <f t="shared" ca="1" si="2"/>
        <v>'Spalding University',</v>
      </c>
    </row>
    <row r="1448" spans="1:9">
      <c r="A1448" s="1" t="s">
        <v>1446</v>
      </c>
      <c r="B1448" s="3" t="str">
        <f ca="1">IFERROR(__xludf.DUMMYFUNCTION("SPLIT(A1448,"","")"),"US")</f>
        <v>US</v>
      </c>
      <c r="C1448" s="3" t="str">
        <f ca="1">IFERROR(__xludf.DUMMYFUNCTION("""COMPUTED_VALUE"""),"Spelman College")</f>
        <v>Spelman College</v>
      </c>
      <c r="D1448" s="4" t="str">
        <f ca="1">IFERROR(__xludf.DUMMYFUNCTION("""COMPUTED_VALUE"""),"http://www.spelman.edu/")</f>
        <v>http://www.spelman.edu/</v>
      </c>
      <c r="G1448" s="2" t="str">
        <f t="shared" ca="1" si="0"/>
        <v>Spelman College</v>
      </c>
      <c r="H1448" s="3" t="str">
        <f t="shared" ca="1" si="1"/>
        <v>Spelman College</v>
      </c>
      <c r="I1448" s="3" t="str">
        <f t="shared" ca="1" si="2"/>
        <v>'Spelman College',</v>
      </c>
    </row>
    <row r="1449" spans="1:9">
      <c r="A1449" s="1" t="s">
        <v>1447</v>
      </c>
      <c r="B1449" s="3" t="str">
        <f ca="1">IFERROR(__xludf.DUMMYFUNCTION("SPLIT(A1449,"","")"),"US")</f>
        <v>US</v>
      </c>
      <c r="C1449" s="3" t="str">
        <f ca="1">IFERROR(__xludf.DUMMYFUNCTION("""COMPUTED_VALUE"""),"Spertus Institute of Jewish Studies")</f>
        <v>Spertus Institute of Jewish Studies</v>
      </c>
      <c r="D1449" s="4" t="str">
        <f ca="1">IFERROR(__xludf.DUMMYFUNCTION("""COMPUTED_VALUE"""),"http://www.spertus.edu/")</f>
        <v>http://www.spertus.edu/</v>
      </c>
      <c r="G1449" s="2" t="str">
        <f t="shared" ca="1" si="0"/>
        <v>Spertus Institute of Jewish Studies</v>
      </c>
      <c r="H1449" s="3" t="str">
        <f t="shared" ca="1" si="1"/>
        <v>Spertus Institute of Jewish Studies</v>
      </c>
      <c r="I1449" s="3" t="str">
        <f t="shared" ca="1" si="2"/>
        <v>'Spertus Institute of Jewish Studies',</v>
      </c>
    </row>
    <row r="1450" spans="1:9">
      <c r="A1450" s="1" t="s">
        <v>1448</v>
      </c>
      <c r="B1450" s="3" t="str">
        <f ca="1">IFERROR(__xludf.DUMMYFUNCTION("SPLIT(A1450,"","")"),"US")</f>
        <v>US</v>
      </c>
      <c r="C1450" s="3" t="str">
        <f ca="1">IFERROR(__xludf.DUMMYFUNCTION("""COMPUTED_VALUE"""),"Spring Arbor College")</f>
        <v>Spring Arbor College</v>
      </c>
      <c r="D1450" s="4" t="str">
        <f ca="1">IFERROR(__xludf.DUMMYFUNCTION("""COMPUTED_VALUE"""),"http://www.arbor.edu/")</f>
        <v>http://www.arbor.edu/</v>
      </c>
      <c r="G1450" s="2" t="str">
        <f t="shared" ca="1" si="0"/>
        <v>Spring Arbor College</v>
      </c>
      <c r="H1450" s="3" t="str">
        <f t="shared" ca="1" si="1"/>
        <v>Spring Arbor College</v>
      </c>
      <c r="I1450" s="3" t="str">
        <f t="shared" ca="1" si="2"/>
        <v>'Spring Arbor College',</v>
      </c>
    </row>
    <row r="1451" spans="1:9">
      <c r="A1451" s="1" t="s">
        <v>1449</v>
      </c>
      <c r="B1451" s="3" t="str">
        <f ca="1">IFERROR(__xludf.DUMMYFUNCTION("SPLIT(A1451,"","")"),"US")</f>
        <v>US</v>
      </c>
      <c r="C1451" s="3" t="str">
        <f ca="1">IFERROR(__xludf.DUMMYFUNCTION("""COMPUTED_VALUE"""),"Springfield College")</f>
        <v>Springfield College</v>
      </c>
      <c r="D1451" s="4" t="str">
        <f ca="1">IFERROR(__xludf.DUMMYFUNCTION("""COMPUTED_VALUE"""),"http://www.spfldcol.edu/")</f>
        <v>http://www.spfldcol.edu/</v>
      </c>
      <c r="G1451" s="2" t="str">
        <f t="shared" ca="1" si="0"/>
        <v>Springfield College</v>
      </c>
      <c r="H1451" s="3" t="str">
        <f t="shared" ca="1" si="1"/>
        <v>Springfield College</v>
      </c>
      <c r="I1451" s="3" t="str">
        <f t="shared" ca="1" si="2"/>
        <v>'Springfield College',</v>
      </c>
    </row>
    <row r="1452" spans="1:9">
      <c r="A1452" s="1" t="s">
        <v>1450</v>
      </c>
      <c r="B1452" s="3" t="str">
        <f ca="1">IFERROR(__xludf.DUMMYFUNCTION("SPLIT(A1452,"","")"),"US")</f>
        <v>US</v>
      </c>
      <c r="C1452" s="3" t="str">
        <f ca="1">IFERROR(__xludf.DUMMYFUNCTION("""COMPUTED_VALUE"""),"Spring Hill College")</f>
        <v>Spring Hill College</v>
      </c>
      <c r="D1452" s="4" t="str">
        <f ca="1">IFERROR(__xludf.DUMMYFUNCTION("""COMPUTED_VALUE"""),"http://www.shc.edu/")</f>
        <v>http://www.shc.edu/</v>
      </c>
      <c r="G1452" s="2" t="str">
        <f t="shared" ca="1" si="0"/>
        <v>Spring Hill College</v>
      </c>
      <c r="H1452" s="3" t="str">
        <f t="shared" ca="1" si="1"/>
        <v>Spring Hill College</v>
      </c>
      <c r="I1452" s="3" t="str">
        <f t="shared" ca="1" si="2"/>
        <v>'Spring Hill College',</v>
      </c>
    </row>
    <row r="1453" spans="1:9">
      <c r="A1453" s="1" t="s">
        <v>1451</v>
      </c>
      <c r="B1453" s="3" t="str">
        <f ca="1">IFERROR(__xludf.DUMMYFUNCTION("SPLIT(A1453,"","")"),"US")</f>
        <v>US</v>
      </c>
      <c r="C1453" s="3" t="str">
        <f ca="1">IFERROR(__xludf.DUMMYFUNCTION("""COMPUTED_VALUE"""),"St. Ambrose University")</f>
        <v>St. Ambrose University</v>
      </c>
      <c r="D1453" s="4" t="str">
        <f ca="1">IFERROR(__xludf.DUMMYFUNCTION("""COMPUTED_VALUE"""),"http://www.sau.edu/")</f>
        <v>http://www.sau.edu/</v>
      </c>
      <c r="G1453" s="2" t="str">
        <f t="shared" ca="1" si="0"/>
        <v>St. Ambrose University</v>
      </c>
      <c r="H1453" s="3" t="str">
        <f t="shared" ca="1" si="1"/>
        <v>St. Ambrose University</v>
      </c>
      <c r="I1453" s="3" t="str">
        <f t="shared" ca="1" si="2"/>
        <v>'St. Ambrose University',</v>
      </c>
    </row>
    <row r="1454" spans="1:9">
      <c r="A1454" s="1" t="s">
        <v>1452</v>
      </c>
      <c r="B1454" s="3" t="str">
        <f ca="1">IFERROR(__xludf.DUMMYFUNCTION("SPLIT(A1454,"","")"),"US")</f>
        <v>US</v>
      </c>
      <c r="C1454" s="3" t="str">
        <f ca="1">IFERROR(__xludf.DUMMYFUNCTION("""COMPUTED_VALUE"""),"Standford Online University")</f>
        <v>Standford Online University</v>
      </c>
      <c r="D1454" s="4" t="str">
        <f ca="1">IFERROR(__xludf.DUMMYFUNCTION("""COMPUTED_VALUE"""),"http://www.standford-university.cjb.net/")</f>
        <v>http://www.standford-university.cjb.net/</v>
      </c>
      <c r="G1454" s="2" t="str">
        <f t="shared" ca="1" si="0"/>
        <v>Standford Online University</v>
      </c>
      <c r="H1454" s="3" t="str">
        <f t="shared" ca="1" si="1"/>
        <v>Standford Online University</v>
      </c>
      <c r="I1454" s="3" t="str">
        <f t="shared" ca="1" si="2"/>
        <v>'Standford Online University',</v>
      </c>
    </row>
    <row r="1455" spans="1:9">
      <c r="A1455" s="1" t="s">
        <v>1453</v>
      </c>
      <c r="B1455" s="3" t="str">
        <f ca="1">IFERROR(__xludf.DUMMYFUNCTION("SPLIT(A1455,"","")"),"US")</f>
        <v>US</v>
      </c>
      <c r="C1455" s="3" t="str">
        <f ca="1">IFERROR(__xludf.DUMMYFUNCTION("""COMPUTED_VALUE"""),"Standford University")</f>
        <v>Standford University</v>
      </c>
      <c r="D1455" s="4" t="str">
        <f ca="1">IFERROR(__xludf.DUMMYFUNCTION("""COMPUTED_VALUE"""),"http://standford-university.edu.tf/")</f>
        <v>http://standford-university.edu.tf/</v>
      </c>
      <c r="G1455" s="2" t="str">
        <f t="shared" ca="1" si="0"/>
        <v>Standford University</v>
      </c>
      <c r="H1455" s="3" t="str">
        <f t="shared" ca="1" si="1"/>
        <v>Standford University</v>
      </c>
      <c r="I1455" s="3" t="str">
        <f t="shared" ca="1" si="2"/>
        <v>'Standford University',</v>
      </c>
    </row>
    <row r="1456" spans="1:9">
      <c r="A1456" s="1" t="s">
        <v>1454</v>
      </c>
      <c r="B1456" s="3" t="str">
        <f ca="1">IFERROR(__xludf.DUMMYFUNCTION("SPLIT(A1456,"","")"),"US")</f>
        <v>US</v>
      </c>
      <c r="C1456" s="3" t="str">
        <f ca="1">IFERROR(__xludf.DUMMYFUNCTION("""COMPUTED_VALUE"""),"St. Andrews Presbyterian College")</f>
        <v>St. Andrews Presbyterian College</v>
      </c>
      <c r="D1456" s="4" t="str">
        <f ca="1">IFERROR(__xludf.DUMMYFUNCTION("""COMPUTED_VALUE"""),"http://www.sapc.edu/")</f>
        <v>http://www.sapc.edu/</v>
      </c>
      <c r="G1456" s="2" t="str">
        <f t="shared" ca="1" si="0"/>
        <v>St. Andrews Presbyterian College</v>
      </c>
      <c r="H1456" s="3" t="str">
        <f t="shared" ca="1" si="1"/>
        <v>St. Andrews Presbyterian College</v>
      </c>
      <c r="I1456" s="3" t="str">
        <f t="shared" ca="1" si="2"/>
        <v>'St. Andrews Presbyterian College',</v>
      </c>
    </row>
    <row r="1457" spans="1:9">
      <c r="A1457" s="1" t="s">
        <v>1455</v>
      </c>
      <c r="B1457" s="3" t="str">
        <f ca="1">IFERROR(__xludf.DUMMYFUNCTION("SPLIT(A1457,"","")"),"US")</f>
        <v>US</v>
      </c>
      <c r="C1457" s="3" t="str">
        <f ca="1">IFERROR(__xludf.DUMMYFUNCTION("""COMPUTED_VALUE"""),"Stanford University")</f>
        <v>Stanford University</v>
      </c>
      <c r="D1457" s="4" t="str">
        <f ca="1">IFERROR(__xludf.DUMMYFUNCTION("""COMPUTED_VALUE"""),"http://www.stanford.edu/")</f>
        <v>http://www.stanford.edu/</v>
      </c>
      <c r="G1457" s="2" t="str">
        <f t="shared" ca="1" si="0"/>
        <v>Stanford University</v>
      </c>
      <c r="H1457" s="3" t="str">
        <f t="shared" ca="1" si="1"/>
        <v>Stanford University</v>
      </c>
      <c r="I1457" s="3" t="str">
        <f t="shared" ca="1" si="2"/>
        <v>'Stanford University',</v>
      </c>
    </row>
    <row r="1458" spans="1:9">
      <c r="A1458" s="1" t="s">
        <v>1456</v>
      </c>
      <c r="B1458" s="3" t="str">
        <f ca="1">IFERROR(__xludf.DUMMYFUNCTION("SPLIT(A1458,"","")"),"US")</f>
        <v>US</v>
      </c>
      <c r="C1458" s="3" t="str">
        <f ca="1">IFERROR(__xludf.DUMMYFUNCTION("""COMPUTED_VALUE"""),"St. Anselm College")</f>
        <v>St. Anselm College</v>
      </c>
      <c r="D1458" s="4" t="str">
        <f ca="1">IFERROR(__xludf.DUMMYFUNCTION("""COMPUTED_VALUE"""),"http://www.anselm.edu/")</f>
        <v>http://www.anselm.edu/</v>
      </c>
      <c r="G1458" s="2" t="str">
        <f t="shared" ca="1" si="0"/>
        <v>St. Anselm College</v>
      </c>
      <c r="H1458" s="3" t="str">
        <f t="shared" ca="1" si="1"/>
        <v>St. Anselm College</v>
      </c>
      <c r="I1458" s="3" t="str">
        <f t="shared" ca="1" si="2"/>
        <v>'St. Anselm College',</v>
      </c>
    </row>
    <row r="1459" spans="1:9">
      <c r="A1459" s="1" t="s">
        <v>1457</v>
      </c>
      <c r="B1459" s="3" t="str">
        <f ca="1">IFERROR(__xludf.DUMMYFUNCTION("SPLIT(A1459,"","")"),"US")</f>
        <v>US</v>
      </c>
      <c r="C1459" s="3" t="str">
        <f ca="1">IFERROR(__xludf.DUMMYFUNCTION("""COMPUTED_VALUE"""),"St. Anthony College of Nursing")</f>
        <v>St. Anthony College of Nursing</v>
      </c>
      <c r="D1459" s="4" t="str">
        <f ca="1">IFERROR(__xludf.DUMMYFUNCTION("""COMPUTED_VALUE"""),"http://www.sacn.edu/")</f>
        <v>http://www.sacn.edu/</v>
      </c>
      <c r="G1459" s="2" t="str">
        <f t="shared" ca="1" si="0"/>
        <v>St. Anthony College of Nursing</v>
      </c>
      <c r="H1459" s="3" t="str">
        <f t="shared" ca="1" si="1"/>
        <v>St. Anthony College of Nursing</v>
      </c>
      <c r="I1459" s="3" t="str">
        <f t="shared" ca="1" si="2"/>
        <v>'St. Anthony College of Nursing',</v>
      </c>
    </row>
    <row r="1460" spans="1:9">
      <c r="A1460" s="1" t="s">
        <v>1458</v>
      </c>
      <c r="B1460" s="3" t="str">
        <f ca="1">IFERROR(__xludf.DUMMYFUNCTION("SPLIT(A1460,"","")"),"US")</f>
        <v>US</v>
      </c>
      <c r="C1460" s="3" t="str">
        <f ca="1">IFERROR(__xludf.DUMMYFUNCTION("""COMPUTED_VALUE"""),"State University of New York at Albany")</f>
        <v>State University of New York at Albany</v>
      </c>
      <c r="D1460" s="4" t="str">
        <f ca="1">IFERROR(__xludf.DUMMYFUNCTION("""COMPUTED_VALUE"""),"http://www.albany.edu/")</f>
        <v>http://www.albany.edu/</v>
      </c>
      <c r="G1460" s="2" t="str">
        <f t="shared" ca="1" si="0"/>
        <v>State University of New York at Albany</v>
      </c>
      <c r="H1460" s="3" t="str">
        <f t="shared" ca="1" si="1"/>
        <v>State University of New York at Albany</v>
      </c>
      <c r="I1460" s="3" t="str">
        <f t="shared" ca="1" si="2"/>
        <v>'State University of New York at Albany',</v>
      </c>
    </row>
    <row r="1461" spans="1:9">
      <c r="A1461" s="1" t="s">
        <v>1459</v>
      </c>
      <c r="B1461" s="3" t="str">
        <f ca="1">IFERROR(__xludf.DUMMYFUNCTION("SPLIT(A1461,"","")"),"US")</f>
        <v>US</v>
      </c>
      <c r="C1461" s="3" t="str">
        <f ca="1">IFERROR(__xludf.DUMMYFUNCTION("""COMPUTED_VALUE"""),"State University of New York at Binghamton")</f>
        <v>State University of New York at Binghamton</v>
      </c>
      <c r="D1461" s="4" t="str">
        <f ca="1">IFERROR(__xludf.DUMMYFUNCTION("""COMPUTED_VALUE"""),"http://www.binghamton.edu/")</f>
        <v>http://www.binghamton.edu/</v>
      </c>
      <c r="G1461" s="2" t="str">
        <f t="shared" ca="1" si="0"/>
        <v>State University of New York at Binghamton</v>
      </c>
      <c r="H1461" s="3" t="str">
        <f t="shared" ca="1" si="1"/>
        <v>State University of New York at Binghamton</v>
      </c>
      <c r="I1461" s="3" t="str">
        <f t="shared" ca="1" si="2"/>
        <v>'State University of New York at Binghamton',</v>
      </c>
    </row>
    <row r="1462" spans="1:9">
      <c r="A1462" s="1" t="s">
        <v>1460</v>
      </c>
      <c r="B1462" s="3" t="str">
        <f ca="1">IFERROR(__xludf.DUMMYFUNCTION("SPLIT(A1462,"","")"),"US")</f>
        <v>US</v>
      </c>
      <c r="C1462" s="3" t="str">
        <f ca="1">IFERROR(__xludf.DUMMYFUNCTION("""COMPUTED_VALUE"""),"State University of New York at Buffalo")</f>
        <v>State University of New York at Buffalo</v>
      </c>
      <c r="D1462" s="4" t="str">
        <f ca="1">IFERROR(__xludf.DUMMYFUNCTION("""COMPUTED_VALUE"""),"http://www.buffalo.edu/")</f>
        <v>http://www.buffalo.edu/</v>
      </c>
      <c r="G1462" s="2" t="str">
        <f t="shared" ca="1" si="0"/>
        <v>State University of New York at Buffalo</v>
      </c>
      <c r="H1462" s="3" t="str">
        <f t="shared" ca="1" si="1"/>
        <v>State University of New York at Buffalo</v>
      </c>
      <c r="I1462" s="3" t="str">
        <f t="shared" ca="1" si="2"/>
        <v>'State University of New York at Buffalo',</v>
      </c>
    </row>
    <row r="1463" spans="1:9">
      <c r="A1463" s="1" t="s">
        <v>1461</v>
      </c>
      <c r="B1463" s="3" t="str">
        <f ca="1">IFERROR(__xludf.DUMMYFUNCTION("SPLIT(A1463,"","")"),"US")</f>
        <v>US</v>
      </c>
      <c r="C1463" s="3" t="str">
        <f ca="1">IFERROR(__xludf.DUMMYFUNCTION("""COMPUTED_VALUE"""),"State University of New York at New Paltz")</f>
        <v>State University of New York at New Paltz</v>
      </c>
      <c r="D1463" s="4" t="str">
        <f ca="1">IFERROR(__xludf.DUMMYFUNCTION("""COMPUTED_VALUE"""),"http://www.newpaltz.edu/")</f>
        <v>http://www.newpaltz.edu/</v>
      </c>
      <c r="G1463" s="2" t="str">
        <f t="shared" ca="1" si="0"/>
        <v>State University of New York at New Paltz</v>
      </c>
      <c r="H1463" s="3" t="str">
        <f t="shared" ca="1" si="1"/>
        <v>State University of New York at New Paltz</v>
      </c>
      <c r="I1463" s="3" t="str">
        <f t="shared" ca="1" si="2"/>
        <v>'State University of New York at New Paltz',</v>
      </c>
    </row>
    <row r="1464" spans="1:9">
      <c r="A1464" s="1" t="s">
        <v>1462</v>
      </c>
      <c r="B1464" s="3" t="str">
        <f ca="1">IFERROR(__xludf.DUMMYFUNCTION("SPLIT(A1464,"","")"),"US")</f>
        <v>US</v>
      </c>
      <c r="C1464" s="3" t="str">
        <f ca="1">IFERROR(__xludf.DUMMYFUNCTION("""COMPUTED_VALUE"""),"State University of New York at Oswego")</f>
        <v>State University of New York at Oswego</v>
      </c>
      <c r="D1464" s="4" t="str">
        <f ca="1">IFERROR(__xludf.DUMMYFUNCTION("""COMPUTED_VALUE"""),"http://www.oswego.edu/")</f>
        <v>http://www.oswego.edu/</v>
      </c>
      <c r="G1464" s="2" t="str">
        <f t="shared" ca="1" si="0"/>
        <v>State University of New York at Oswego</v>
      </c>
      <c r="H1464" s="3" t="str">
        <f t="shared" ca="1" si="1"/>
        <v>State University of New York at Oswego</v>
      </c>
      <c r="I1464" s="3" t="str">
        <f t="shared" ca="1" si="2"/>
        <v>'State University of New York at Oswego',</v>
      </c>
    </row>
    <row r="1465" spans="1:9">
      <c r="A1465" s="1" t="s">
        <v>1463</v>
      </c>
      <c r="B1465" s="3" t="str">
        <f ca="1">IFERROR(__xludf.DUMMYFUNCTION("SPLIT(A1465,"","")"),"US")</f>
        <v>US</v>
      </c>
      <c r="C1465" s="3" t="str">
        <f ca="1">IFERROR(__xludf.DUMMYFUNCTION("""COMPUTED_VALUE"""),"State University of New York at Stony Brook")</f>
        <v>State University of New York at Stony Brook</v>
      </c>
      <c r="D1465" s="4" t="str">
        <f ca="1">IFERROR(__xludf.DUMMYFUNCTION("""COMPUTED_VALUE"""),"http://www.sunysb.edu/")</f>
        <v>http://www.sunysb.edu/</v>
      </c>
      <c r="G1465" s="2" t="str">
        <f t="shared" ca="1" si="0"/>
        <v>State University of New York at Stony Brook</v>
      </c>
      <c r="H1465" s="3" t="str">
        <f t="shared" ca="1" si="1"/>
        <v>State University of New York at Stony Brook</v>
      </c>
      <c r="I1465" s="3" t="str">
        <f t="shared" ca="1" si="2"/>
        <v>'State University of New York at Stony Brook',</v>
      </c>
    </row>
    <row r="1466" spans="1:9">
      <c r="A1466" s="1" t="s">
        <v>1464</v>
      </c>
      <c r="B1466" s="3" t="str">
        <f ca="1">IFERROR(__xludf.DUMMYFUNCTION("SPLIT(A1466,"","")"),"US")</f>
        <v>US</v>
      </c>
      <c r="C1466" s="3" t="str">
        <f ca="1">IFERROR(__xludf.DUMMYFUNCTION("""COMPUTED_VALUE"""),"State University of New York College at Brockport")</f>
        <v>State University of New York College at Brockport</v>
      </c>
      <c r="D1466" s="4" t="str">
        <f ca="1">IFERROR(__xludf.DUMMYFUNCTION("""COMPUTED_VALUE"""),"http://www.brockport.edu/")</f>
        <v>http://www.brockport.edu/</v>
      </c>
      <c r="G1466" s="2" t="str">
        <f t="shared" ca="1" si="0"/>
        <v>State University of New York College at Brockport</v>
      </c>
      <c r="H1466" s="3" t="str">
        <f t="shared" ca="1" si="1"/>
        <v>State University of New York College at Brockport</v>
      </c>
      <c r="I1466" s="3" t="str">
        <f t="shared" ca="1" si="2"/>
        <v>'State University of New York College at Brockport',</v>
      </c>
    </row>
    <row r="1467" spans="1:9">
      <c r="A1467" s="1" t="s">
        <v>1465</v>
      </c>
      <c r="B1467" s="3" t="str">
        <f ca="1">IFERROR(__xludf.DUMMYFUNCTION("SPLIT(A1467,"","")"),"US")</f>
        <v>US</v>
      </c>
      <c r="C1467" s="3" t="str">
        <f ca="1">IFERROR(__xludf.DUMMYFUNCTION("""COMPUTED_VALUE"""),"State University of New York College at Cortland")</f>
        <v>State University of New York College at Cortland</v>
      </c>
      <c r="D1467" s="4" t="str">
        <f ca="1">IFERROR(__xludf.DUMMYFUNCTION("""COMPUTED_VALUE"""),"http://www.cortland.edu/")</f>
        <v>http://www.cortland.edu/</v>
      </c>
      <c r="G1467" s="2" t="str">
        <f t="shared" ca="1" si="0"/>
        <v>State University of New York College at Cortland</v>
      </c>
      <c r="H1467" s="3" t="str">
        <f t="shared" ca="1" si="1"/>
        <v>State University of New York College at Cortland</v>
      </c>
      <c r="I1467" s="3" t="str">
        <f t="shared" ca="1" si="2"/>
        <v>'State University of New York College at Cortland',</v>
      </c>
    </row>
    <row r="1468" spans="1:9">
      <c r="A1468" s="1" t="s">
        <v>1466</v>
      </c>
      <c r="B1468" s="3" t="str">
        <f ca="1">IFERROR(__xludf.DUMMYFUNCTION("SPLIT(A1468,"","")"),"US")</f>
        <v>US</v>
      </c>
      <c r="C1468" s="3" t="str">
        <f ca="1">IFERROR(__xludf.DUMMYFUNCTION("""COMPUTED_VALUE"""),"State University of New York College at Fredonia")</f>
        <v>State University of New York College at Fredonia</v>
      </c>
      <c r="D1468" s="4" t="str">
        <f ca="1">IFERROR(__xludf.DUMMYFUNCTION("""COMPUTED_VALUE"""),"http://www.fredonia.edu/")</f>
        <v>http://www.fredonia.edu/</v>
      </c>
      <c r="G1468" s="2" t="str">
        <f t="shared" ca="1" si="0"/>
        <v>State University of New York College at Fredonia</v>
      </c>
      <c r="H1468" s="3" t="str">
        <f t="shared" ca="1" si="1"/>
        <v>State University of New York College at Fredonia</v>
      </c>
      <c r="I1468" s="3" t="str">
        <f t="shared" ca="1" si="2"/>
        <v>'State University of New York College at Fredonia',</v>
      </c>
    </row>
    <row r="1469" spans="1:9">
      <c r="A1469" s="1" t="s">
        <v>1467</v>
      </c>
      <c r="B1469" s="3" t="str">
        <f ca="1">IFERROR(__xludf.DUMMYFUNCTION("SPLIT(A1469,"","")"),"US")</f>
        <v>US</v>
      </c>
      <c r="C1469" s="3" t="str">
        <f ca="1">IFERROR(__xludf.DUMMYFUNCTION("""COMPUTED_VALUE"""),"State University of New York College at Geneseo")</f>
        <v>State University of New York College at Geneseo</v>
      </c>
      <c r="D1469" s="4" t="str">
        <f ca="1">IFERROR(__xludf.DUMMYFUNCTION("""COMPUTED_VALUE"""),"http://www.geneseo.edu/")</f>
        <v>http://www.geneseo.edu/</v>
      </c>
      <c r="G1469" s="2" t="str">
        <f t="shared" ca="1" si="0"/>
        <v>State University of New York College at Geneseo</v>
      </c>
      <c r="H1469" s="3" t="str">
        <f t="shared" ca="1" si="1"/>
        <v>State University of New York College at Geneseo</v>
      </c>
      <c r="I1469" s="3" t="str">
        <f t="shared" ca="1" si="2"/>
        <v>'State University of New York College at Geneseo',</v>
      </c>
    </row>
    <row r="1470" spans="1:9">
      <c r="A1470" s="1" t="s">
        <v>1468</v>
      </c>
      <c r="B1470" s="3" t="str">
        <f ca="1">IFERROR(__xludf.DUMMYFUNCTION("SPLIT(A1470,"","")"),"US")</f>
        <v>US</v>
      </c>
      <c r="C1470" s="3" t="str">
        <f ca="1">IFERROR(__xludf.DUMMYFUNCTION("""COMPUTED_VALUE"""),"State University of New York College at Old Westbury")</f>
        <v>State University of New York College at Old Westbury</v>
      </c>
      <c r="D1470" s="4" t="str">
        <f ca="1">IFERROR(__xludf.DUMMYFUNCTION("""COMPUTED_VALUE"""),"http://www.oldwestbury.edu/")</f>
        <v>http://www.oldwestbury.edu/</v>
      </c>
      <c r="G1470" s="2" t="str">
        <f t="shared" ca="1" si="0"/>
        <v>State University of New York College at Old Westbury</v>
      </c>
      <c r="H1470" s="3" t="str">
        <f t="shared" ca="1" si="1"/>
        <v>State University of New York College at Old Westbury</v>
      </c>
      <c r="I1470" s="3" t="str">
        <f t="shared" ca="1" si="2"/>
        <v>'State University of New York College at Old Westbury',</v>
      </c>
    </row>
    <row r="1471" spans="1:9">
      <c r="A1471" s="1" t="s">
        <v>1469</v>
      </c>
      <c r="B1471" s="3" t="str">
        <f ca="1">IFERROR(__xludf.DUMMYFUNCTION("SPLIT(A1471,"","")"),"US")</f>
        <v>US</v>
      </c>
      <c r="C1471" s="3" t="str">
        <f ca="1">IFERROR(__xludf.DUMMYFUNCTION("""COMPUTED_VALUE"""),"State University of New York College at Oneonta")</f>
        <v>State University of New York College at Oneonta</v>
      </c>
      <c r="D1471" s="4" t="str">
        <f ca="1">IFERROR(__xludf.DUMMYFUNCTION("""COMPUTED_VALUE"""),"http://www.oneonta.edu/")</f>
        <v>http://www.oneonta.edu/</v>
      </c>
      <c r="G1471" s="2" t="str">
        <f t="shared" ca="1" si="0"/>
        <v>State University of New York College at Oneonta</v>
      </c>
      <c r="H1471" s="3" t="str">
        <f t="shared" ca="1" si="1"/>
        <v>State University of New York College at Oneonta</v>
      </c>
      <c r="I1471" s="3" t="str">
        <f t="shared" ca="1" si="2"/>
        <v>'State University of New York College at Oneonta',</v>
      </c>
    </row>
    <row r="1472" spans="1:9">
      <c r="A1472" s="1" t="s">
        <v>1470</v>
      </c>
      <c r="B1472" s="3" t="str">
        <f ca="1">IFERROR(__xludf.DUMMYFUNCTION("SPLIT(A1472,"","")"),"US")</f>
        <v>US</v>
      </c>
      <c r="C1472" s="3" t="str">
        <f ca="1">IFERROR(__xludf.DUMMYFUNCTION("""COMPUTED_VALUE"""),"State University of New York College at Plattsburgh")</f>
        <v>State University of New York College at Plattsburgh</v>
      </c>
      <c r="D1472" s="4" t="str">
        <f ca="1">IFERROR(__xludf.DUMMYFUNCTION("""COMPUTED_VALUE"""),"http://www.plattsburgh.edu/")</f>
        <v>http://www.plattsburgh.edu/</v>
      </c>
      <c r="G1472" s="2" t="str">
        <f t="shared" ca="1" si="0"/>
        <v>State University of New York College at Plattsburgh</v>
      </c>
      <c r="H1472" s="3" t="str">
        <f t="shared" ca="1" si="1"/>
        <v>State University of New York College at Plattsburgh</v>
      </c>
      <c r="I1472" s="3" t="str">
        <f t="shared" ca="1" si="2"/>
        <v>'State University of New York College at Plattsburgh',</v>
      </c>
    </row>
    <row r="1473" spans="1:9">
      <c r="A1473" s="1" t="s">
        <v>1471</v>
      </c>
      <c r="B1473" s="3" t="str">
        <f ca="1">IFERROR(__xludf.DUMMYFUNCTION("SPLIT(A1473,"","")"),"US")</f>
        <v>US</v>
      </c>
      <c r="C1473" s="3" t="str">
        <f ca="1">IFERROR(__xludf.DUMMYFUNCTION("""COMPUTED_VALUE"""),"State University of New York College at Potsdam")</f>
        <v>State University of New York College at Potsdam</v>
      </c>
      <c r="D1473" s="4" t="str">
        <f ca="1">IFERROR(__xludf.DUMMYFUNCTION("""COMPUTED_VALUE"""),"http://www.potsdam.edu/")</f>
        <v>http://www.potsdam.edu/</v>
      </c>
      <c r="G1473" s="2" t="str">
        <f t="shared" ca="1" si="0"/>
        <v>State University of New York College at Potsdam</v>
      </c>
      <c r="H1473" s="3" t="str">
        <f t="shared" ca="1" si="1"/>
        <v>State University of New York College at Potsdam</v>
      </c>
      <c r="I1473" s="3" t="str">
        <f t="shared" ca="1" si="2"/>
        <v>'State University of New York College at Potsdam',</v>
      </c>
    </row>
    <row r="1474" spans="1:9">
      <c r="A1474" s="1" t="s">
        <v>1472</v>
      </c>
      <c r="B1474" s="3" t="str">
        <f ca="1">IFERROR(__xludf.DUMMYFUNCTION("SPLIT(A1474,"","")"),"US")</f>
        <v>US</v>
      </c>
      <c r="C1474" s="3" t="str">
        <f ca="1">IFERROR(__xludf.DUMMYFUNCTION("""COMPUTED_VALUE"""),"State University of New York College at Purchase")</f>
        <v>State University of New York College at Purchase</v>
      </c>
      <c r="D1474" s="4" t="str">
        <f ca="1">IFERROR(__xludf.DUMMYFUNCTION("""COMPUTED_VALUE"""),"http://www.purchase.edu/")</f>
        <v>http://www.purchase.edu/</v>
      </c>
      <c r="G1474" s="2" t="str">
        <f t="shared" ca="1" si="0"/>
        <v>State University of New York College at Purchase</v>
      </c>
      <c r="H1474" s="3" t="str">
        <f t="shared" ca="1" si="1"/>
        <v>State University of New York College at Purchase</v>
      </c>
      <c r="I1474" s="3" t="str">
        <f t="shared" ca="1" si="2"/>
        <v>'State University of New York College at Purchase',</v>
      </c>
    </row>
    <row r="1475" spans="1:9">
      <c r="A1475" s="1" t="s">
        <v>1473</v>
      </c>
      <c r="B1475" s="3" t="str">
        <f ca="1">IFERROR(__xludf.DUMMYFUNCTION("SPLIT(A1475,"","")"),"US")</f>
        <v>US</v>
      </c>
      <c r="C1475" s="3" t="str">
        <f ca="1">IFERROR(__xludf.DUMMYFUNCTION("""COMPUTED_VALUE"""),"State University of New York College of Agriculture and Technology at Cobleskill")</f>
        <v>State University of New York College of Agriculture and Technology at Cobleskill</v>
      </c>
      <c r="D1475" s="4" t="str">
        <f ca="1">IFERROR(__xludf.DUMMYFUNCTION("""COMPUTED_VALUE"""),"http://www.cobleskill.edu/")</f>
        <v>http://www.cobleskill.edu/</v>
      </c>
      <c r="G1475" s="2" t="str">
        <f t="shared" ca="1" si="0"/>
        <v>State University of New York College of Agriculture and Technology at Cobleskill</v>
      </c>
      <c r="H1475" s="3" t="str">
        <f t="shared" ca="1" si="1"/>
        <v>State University of New York College of Agriculture and Technology at Cobleskill</v>
      </c>
      <c r="I1475" s="3" t="str">
        <f t="shared" ca="1" si="2"/>
        <v>'State University of New York College of Agriculture and Technology at Cobleskill',</v>
      </c>
    </row>
    <row r="1476" spans="1:9">
      <c r="A1476" s="1" t="s">
        <v>1474</v>
      </c>
      <c r="B1476" s="3" t="str">
        <f ca="1">IFERROR(__xludf.DUMMYFUNCTION("SPLIT(A1476,"","")"),"US")</f>
        <v>US</v>
      </c>
      <c r="C1476" s="3" t="str">
        <f ca="1">IFERROR(__xludf.DUMMYFUNCTION("""COMPUTED_VALUE"""),"State University of New York College of Environmental Science and Forestry")</f>
        <v>State University of New York College of Environmental Science and Forestry</v>
      </c>
      <c r="D1476" s="4" t="str">
        <f ca="1">IFERROR(__xludf.DUMMYFUNCTION("""COMPUTED_VALUE"""),"http://www.esf.edu/")</f>
        <v>http://www.esf.edu/</v>
      </c>
      <c r="G1476" s="2" t="str">
        <f t="shared" ca="1" si="0"/>
        <v>State University of New York College of Environmental Science and Forestry</v>
      </c>
      <c r="H1476" s="3" t="str">
        <f t="shared" ca="1" si="1"/>
        <v>State University of New York College of Environmental Science and Forestry</v>
      </c>
      <c r="I1476" s="3" t="str">
        <f t="shared" ca="1" si="2"/>
        <v>'State University of New York College of Environmental Science and Forestry',</v>
      </c>
    </row>
    <row r="1477" spans="1:9">
      <c r="A1477" s="1" t="s">
        <v>1475</v>
      </c>
      <c r="B1477" s="3" t="str">
        <f ca="1">IFERROR(__xludf.DUMMYFUNCTION("SPLIT(A1477,"","")"),"US")</f>
        <v>US</v>
      </c>
      <c r="C1477" s="3" t="str">
        <f ca="1">IFERROR(__xludf.DUMMYFUNCTION("""COMPUTED_VALUE"""),"State University of New York College of Optometry")</f>
        <v>State University of New York College of Optometry</v>
      </c>
      <c r="D1477" s="4" t="str">
        <f ca="1">IFERROR(__xludf.DUMMYFUNCTION("""COMPUTED_VALUE"""),"http://www.sunyopt.edu/")</f>
        <v>http://www.sunyopt.edu/</v>
      </c>
      <c r="G1477" s="2" t="str">
        <f t="shared" ca="1" si="0"/>
        <v>State University of New York College of Optometry</v>
      </c>
      <c r="H1477" s="3" t="str">
        <f t="shared" ca="1" si="1"/>
        <v>State University of New York College of Optometry</v>
      </c>
      <c r="I1477" s="3" t="str">
        <f t="shared" ca="1" si="2"/>
        <v>'State University of New York College of Optometry',</v>
      </c>
    </row>
    <row r="1478" spans="1:9">
      <c r="A1478" s="1" t="s">
        <v>1476</v>
      </c>
      <c r="B1478" s="3" t="str">
        <f ca="1">IFERROR(__xludf.DUMMYFUNCTION("SPLIT(A1478,"","")"),"US")</f>
        <v>US</v>
      </c>
      <c r="C1478" s="3" t="str">
        <f ca="1">IFERROR(__xludf.DUMMYFUNCTION("""COMPUTED_VALUE"""),"State University of New York College of Technology at Alfred")</f>
        <v>State University of New York College of Technology at Alfred</v>
      </c>
      <c r="D1478" s="4" t="str">
        <f ca="1">IFERROR(__xludf.DUMMYFUNCTION("""COMPUTED_VALUE"""),"http://www.alfredtech.edu/")</f>
        <v>http://www.alfredtech.edu/</v>
      </c>
      <c r="G1478" s="2" t="str">
        <f t="shared" ca="1" si="0"/>
        <v>State University of New York College of Technology at Alfred</v>
      </c>
      <c r="H1478" s="3" t="str">
        <f t="shared" ca="1" si="1"/>
        <v>State University of New York College of Technology at Alfred</v>
      </c>
      <c r="I1478" s="3" t="str">
        <f t="shared" ca="1" si="2"/>
        <v>'State University of New York College of Technology at Alfred',</v>
      </c>
    </row>
    <row r="1479" spans="1:9">
      <c r="A1479" s="1" t="s">
        <v>1477</v>
      </c>
      <c r="B1479" s="3" t="str">
        <f ca="1">IFERROR(__xludf.DUMMYFUNCTION("SPLIT(A1479,"","")"),"US")</f>
        <v>US</v>
      </c>
      <c r="C1479" s="3" t="str">
        <f ca="1">IFERROR(__xludf.DUMMYFUNCTION("""COMPUTED_VALUE"""),"State University of New York College of Technology at Farmingdale")</f>
        <v>State University of New York College of Technology at Farmingdale</v>
      </c>
      <c r="D1479" s="4" t="str">
        <f ca="1">IFERROR(__xludf.DUMMYFUNCTION("""COMPUTED_VALUE"""),"http://www.farmingdale.edu/")</f>
        <v>http://www.farmingdale.edu/</v>
      </c>
      <c r="G1479" s="2" t="str">
        <f t="shared" ca="1" si="0"/>
        <v>State University of New York College of Technology at Farmingdale</v>
      </c>
      <c r="H1479" s="3" t="str">
        <f t="shared" ca="1" si="1"/>
        <v>State University of New York College of Technology at Farmingdale</v>
      </c>
      <c r="I1479" s="3" t="str">
        <f t="shared" ca="1" si="2"/>
        <v>'State University of New York College of Technology at Farmingdale',</v>
      </c>
    </row>
    <row r="1480" spans="1:9">
      <c r="A1480" s="1" t="s">
        <v>1478</v>
      </c>
      <c r="B1480" s="3" t="str">
        <f ca="1">IFERROR(__xludf.DUMMYFUNCTION("SPLIT(A1480,"","")"),"US")</f>
        <v>US</v>
      </c>
      <c r="C1480" s="3" t="str">
        <f ca="1">IFERROR(__xludf.DUMMYFUNCTION("""COMPUTED_VALUE"""),"State University of New York Downstate Medical Center")</f>
        <v>State University of New York Downstate Medical Center</v>
      </c>
      <c r="D1480" s="4" t="str">
        <f ca="1">IFERROR(__xludf.DUMMYFUNCTION("""COMPUTED_VALUE"""),"http://www.hscbklyn.edu/")</f>
        <v>http://www.hscbklyn.edu/</v>
      </c>
      <c r="G1480" s="2" t="str">
        <f t="shared" ca="1" si="0"/>
        <v>State University of New York Downstate Medical Center</v>
      </c>
      <c r="H1480" s="3" t="str">
        <f t="shared" ca="1" si="1"/>
        <v>State University of New York Downstate Medical Center</v>
      </c>
      <c r="I1480" s="3" t="str">
        <f t="shared" ca="1" si="2"/>
        <v>'State University of New York Downstate Medical Center',</v>
      </c>
    </row>
    <row r="1481" spans="1:9">
      <c r="A1481" s="1" t="s">
        <v>1479</v>
      </c>
      <c r="B1481" s="3" t="str">
        <f ca="1">IFERROR(__xludf.DUMMYFUNCTION("SPLIT(A1481,"","")"),"US")</f>
        <v>US</v>
      </c>
      <c r="C1481" s="3" t="str">
        <f ca="1">IFERROR(__xludf.DUMMYFUNCTION("""COMPUTED_VALUE"""),"State University of New York Empire State College")</f>
        <v>State University of New York Empire State College</v>
      </c>
      <c r="D1481" s="4" t="str">
        <f ca="1">IFERROR(__xludf.DUMMYFUNCTION("""COMPUTED_VALUE"""),"http://www.esc.edu/")</f>
        <v>http://www.esc.edu/</v>
      </c>
      <c r="G1481" s="2" t="str">
        <f t="shared" ca="1" si="0"/>
        <v>State University of New York Empire State College</v>
      </c>
      <c r="H1481" s="3" t="str">
        <f t="shared" ca="1" si="1"/>
        <v>State University of New York Empire State College</v>
      </c>
      <c r="I1481" s="3" t="str">
        <f t="shared" ca="1" si="2"/>
        <v>'State University of New York Empire State College',</v>
      </c>
    </row>
    <row r="1482" spans="1:9">
      <c r="A1482" s="1" t="s">
        <v>1480</v>
      </c>
      <c r="B1482" s="3" t="str">
        <f ca="1">IFERROR(__xludf.DUMMYFUNCTION("SPLIT(A1482,"","")"),"US")</f>
        <v>US</v>
      </c>
      <c r="C1482" s="3" t="str">
        <f ca="1">IFERROR(__xludf.DUMMYFUNCTION("""COMPUTED_VALUE"""),"State University of New York Health Sience Centre Syracuse")</f>
        <v>State University of New York Health Sience Centre Syracuse</v>
      </c>
      <c r="D1482" s="4" t="str">
        <f ca="1">IFERROR(__xludf.DUMMYFUNCTION("""COMPUTED_VALUE"""),"http://www.hscsyr.edu/")</f>
        <v>http://www.hscsyr.edu/</v>
      </c>
      <c r="G1482" s="2" t="str">
        <f t="shared" ca="1" si="0"/>
        <v>State University of New York Health Sience Centre Syracuse</v>
      </c>
      <c r="H1482" s="3" t="str">
        <f t="shared" ca="1" si="1"/>
        <v>State University of New York Health Sience Centre Syracuse</v>
      </c>
      <c r="I1482" s="3" t="str">
        <f t="shared" ca="1" si="2"/>
        <v>'State University of New York Health Sience Centre Syracuse',</v>
      </c>
    </row>
    <row r="1483" spans="1:9">
      <c r="A1483" s="1" t="s">
        <v>1481</v>
      </c>
      <c r="B1483" s="3" t="str">
        <f ca="1">IFERROR(__xludf.DUMMYFUNCTION("SPLIT(A1483,"","")"),"US")</f>
        <v>US</v>
      </c>
      <c r="C1483" s="3" t="str">
        <f ca="1">IFERROR(__xludf.DUMMYFUNCTION("""COMPUTED_VALUE"""),"State University of New York Institute of Technology at Utica/Rome")</f>
        <v>State University of New York Institute of Technology at Utica/Rome</v>
      </c>
      <c r="D1483" s="4" t="str">
        <f ca="1">IFERROR(__xludf.DUMMYFUNCTION("""COMPUTED_VALUE"""),"http://www.sunyit.edu/")</f>
        <v>http://www.sunyit.edu/</v>
      </c>
      <c r="G1483" s="2" t="str">
        <f t="shared" ca="1" si="0"/>
        <v>State University of New York Institute of Technology at Utica/Rome</v>
      </c>
      <c r="H1483" s="3" t="str">
        <f t="shared" ca="1" si="1"/>
        <v>State University of New York Institute of Technology at Utica/Rome</v>
      </c>
      <c r="I1483" s="3" t="str">
        <f t="shared" ca="1" si="2"/>
        <v>'State University of New York Institute of Technology at Utica/Rome',</v>
      </c>
    </row>
    <row r="1484" spans="1:9">
      <c r="A1484" s="1" t="s">
        <v>1482</v>
      </c>
      <c r="B1484" s="3" t="str">
        <f ca="1">IFERROR(__xludf.DUMMYFUNCTION("SPLIT(A1484,"","")"),"US")</f>
        <v>US</v>
      </c>
      <c r="C1484" s="3" t="str">
        <f ca="1">IFERROR(__xludf.DUMMYFUNCTION("""COMPUTED_VALUE"""),"State University of New York Maritime College")</f>
        <v>State University of New York Maritime College</v>
      </c>
      <c r="D1484" s="4" t="str">
        <f ca="1">IFERROR(__xludf.DUMMYFUNCTION("""COMPUTED_VALUE"""),"http://www.sunymaritime.edu/")</f>
        <v>http://www.sunymaritime.edu/</v>
      </c>
      <c r="G1484" s="2" t="str">
        <f t="shared" ca="1" si="0"/>
        <v>State University of New York Maritime College</v>
      </c>
      <c r="H1484" s="3" t="str">
        <f t="shared" ca="1" si="1"/>
        <v>State University of New York Maritime College</v>
      </c>
      <c r="I1484" s="3" t="str">
        <f t="shared" ca="1" si="2"/>
        <v>'State University of New York Maritime College',</v>
      </c>
    </row>
    <row r="1485" spans="1:9">
      <c r="A1485" s="1" t="s">
        <v>1483</v>
      </c>
      <c r="B1485" s="3" t="str">
        <f ca="1">IFERROR(__xludf.DUMMYFUNCTION("SPLIT(A1485,"","")"),"US")</f>
        <v>US</v>
      </c>
      <c r="C1485" s="3" t="str">
        <f ca="1">IFERROR(__xludf.DUMMYFUNCTION("""COMPUTED_VALUE"""),"State University of New York School of Engineering and Applied Sciences")</f>
        <v>State University of New York School of Engineering and Applied Sciences</v>
      </c>
      <c r="D1485" s="4" t="str">
        <f ca="1">IFERROR(__xludf.DUMMYFUNCTION("""COMPUTED_VALUE"""),"http://www.eng.buffalo.edu/")</f>
        <v>http://www.eng.buffalo.edu/</v>
      </c>
      <c r="G1485" s="2" t="str">
        <f t="shared" ca="1" si="0"/>
        <v>State University of New York School of Engineering and Applied Sciences</v>
      </c>
      <c r="H1485" s="3" t="str">
        <f t="shared" ca="1" si="1"/>
        <v>State University of New York School of Engineering and Applied Sciences</v>
      </c>
      <c r="I1485" s="3" t="str">
        <f t="shared" ca="1" si="2"/>
        <v>'State University of New York School of Engineering and Applied Sciences',</v>
      </c>
    </row>
    <row r="1486" spans="1:9">
      <c r="A1486" s="1" t="s">
        <v>1484</v>
      </c>
      <c r="B1486" s="3" t="str">
        <f ca="1">IFERROR(__xludf.DUMMYFUNCTION("SPLIT(A1486,"","")"),"US")</f>
        <v>US</v>
      </c>
      <c r="C1486" s="3" t="str">
        <f ca="1">IFERROR(__xludf.DUMMYFUNCTION("""COMPUTED_VALUE"""),"State University of New York (SUNY)")</f>
        <v>State University of New York (SUNY)</v>
      </c>
      <c r="D1486" s="4" t="str">
        <f ca="1">IFERROR(__xludf.DUMMYFUNCTION("""COMPUTED_VALUE"""),"http://www.sunycentral.edu/")</f>
        <v>http://www.sunycentral.edu/</v>
      </c>
      <c r="G1486" s="2" t="str">
        <f t="shared" ca="1" si="0"/>
        <v>State University of New York (SUNY)</v>
      </c>
      <c r="H1486" s="3" t="str">
        <f t="shared" ca="1" si="1"/>
        <v>State University of New York (SUNY)</v>
      </c>
      <c r="I1486" s="3" t="str">
        <f t="shared" ca="1" si="2"/>
        <v>'State University of New York (SUNY)',</v>
      </c>
    </row>
    <row r="1487" spans="1:9">
      <c r="A1487" s="1" t="s">
        <v>1485</v>
      </c>
      <c r="B1487" s="3" t="str">
        <f ca="1">IFERROR(__xludf.DUMMYFUNCTION("SPLIT(A1487,"","")"),"US")</f>
        <v>US</v>
      </c>
      <c r="C1487" s="3" t="str">
        <f ca="1">IFERROR(__xludf.DUMMYFUNCTION("""COMPUTED_VALUE"""),"State University of New York Upstate Medical University ")</f>
        <v xml:space="preserve">State University of New York Upstate Medical University </v>
      </c>
      <c r="D1487" s="4" t="str">
        <f ca="1">IFERROR(__xludf.DUMMYFUNCTION("""COMPUTED_VALUE"""),"http://www.upstate.edu/")</f>
        <v>http://www.upstate.edu/</v>
      </c>
      <c r="G1487" s="2" t="str">
        <f t="shared" ca="1" si="0"/>
        <v xml:space="preserve">State University of New York Upstate Medical University </v>
      </c>
      <c r="H1487" s="3" t="str">
        <f t="shared" ca="1" si="1"/>
        <v xml:space="preserve">State University of New York Upstate Medical University </v>
      </c>
      <c r="I1487" s="3" t="str">
        <f t="shared" ca="1" si="2"/>
        <v>'State University of New York Upstate Medical University ',</v>
      </c>
    </row>
    <row r="1488" spans="1:9">
      <c r="A1488" s="1" t="s">
        <v>1486</v>
      </c>
      <c r="B1488" s="3" t="str">
        <f ca="1">IFERROR(__xludf.DUMMYFUNCTION("SPLIT(A1488,"","")"),"US")</f>
        <v>US</v>
      </c>
      <c r="C1488" s="3" t="str">
        <f ca="1">IFERROR(__xludf.DUMMYFUNCTION("""COMPUTED_VALUE"""),"State University of West Georgia")</f>
        <v>State University of West Georgia</v>
      </c>
      <c r="D1488" s="4" t="str">
        <f ca="1">IFERROR(__xludf.DUMMYFUNCTION("""COMPUTED_VALUE"""),"http://www.westga.edu/")</f>
        <v>http://www.westga.edu/</v>
      </c>
      <c r="G1488" s="2" t="str">
        <f t="shared" ca="1" si="0"/>
        <v>State University of West Georgia</v>
      </c>
      <c r="H1488" s="3" t="str">
        <f t="shared" ca="1" si="1"/>
        <v>State University of West Georgia</v>
      </c>
      <c r="I1488" s="3" t="str">
        <f t="shared" ca="1" si="2"/>
        <v>'State University of West Georgia',</v>
      </c>
    </row>
    <row r="1489" spans="1:9">
      <c r="A1489" s="1" t="s">
        <v>1487</v>
      </c>
      <c r="B1489" s="3" t="str">
        <f ca="1">IFERROR(__xludf.DUMMYFUNCTION("SPLIT(A1489,"","")"),"US")</f>
        <v>US</v>
      </c>
      <c r="C1489" s="3" t="str">
        <f ca="1">IFERROR(__xludf.DUMMYFUNCTION("""COMPUTED_VALUE"""),"St. Augustine's College North Carolina")</f>
        <v>St. Augustine's College North Carolina</v>
      </c>
      <c r="D1489" s="4" t="str">
        <f ca="1">IFERROR(__xludf.DUMMYFUNCTION("""COMPUTED_VALUE"""),"http://www.st-aug.edu/")</f>
        <v>http://www.st-aug.edu/</v>
      </c>
      <c r="G1489" s="2" t="str">
        <f t="shared" ca="1" si="0"/>
        <v>St. Augustine's College North Carolina</v>
      </c>
      <c r="H1489" s="3" t="str">
        <f t="shared" ca="1" si="1"/>
        <v>St. Augustine's College North Carolina</v>
      </c>
      <c r="I1489" s="3" t="str">
        <f t="shared" ca="1" si="2"/>
        <v>'St. Augustine's College North Carolina',</v>
      </c>
    </row>
    <row r="1490" spans="1:9">
      <c r="A1490" s="1" t="s">
        <v>1488</v>
      </c>
      <c r="B1490" s="3" t="str">
        <f ca="1">IFERROR(__xludf.DUMMYFUNCTION("SPLIT(A1490,"","")"),"US")</f>
        <v>US</v>
      </c>
      <c r="C1490" s="3" t="str">
        <f ca="1">IFERROR(__xludf.DUMMYFUNCTION("""COMPUTED_VALUE"""),"St. Bernard's Institute")</f>
        <v>St. Bernard's Institute</v>
      </c>
      <c r="D1490" s="4" t="str">
        <f ca="1">IFERROR(__xludf.DUMMYFUNCTION("""COMPUTED_VALUE"""),"http://www.sbi.edu/")</f>
        <v>http://www.sbi.edu/</v>
      </c>
      <c r="G1490" s="2" t="str">
        <f t="shared" ca="1" si="0"/>
        <v>St. Bernard's Institute</v>
      </c>
      <c r="H1490" s="3" t="str">
        <f t="shared" ca="1" si="1"/>
        <v>St. Bernard's Institute</v>
      </c>
      <c r="I1490" s="3" t="str">
        <f t="shared" ca="1" si="2"/>
        <v>'St. Bernard's Institute',</v>
      </c>
    </row>
    <row r="1491" spans="1:9">
      <c r="A1491" s="1" t="s">
        <v>1489</v>
      </c>
      <c r="B1491" s="3" t="str">
        <f ca="1">IFERROR(__xludf.DUMMYFUNCTION("SPLIT(A1491,"","")"),"US")</f>
        <v>US</v>
      </c>
      <c r="C1491" s="3" t="str">
        <f ca="1">IFERROR(__xludf.DUMMYFUNCTION("""COMPUTED_VALUE"""),"St. Bonaventure University")</f>
        <v>St. Bonaventure University</v>
      </c>
      <c r="D1491" s="4" t="str">
        <f ca="1">IFERROR(__xludf.DUMMYFUNCTION("""COMPUTED_VALUE"""),"http://www.sbu.edu/")</f>
        <v>http://www.sbu.edu/</v>
      </c>
      <c r="G1491" s="2" t="str">
        <f t="shared" ca="1" si="0"/>
        <v>St. Bonaventure University</v>
      </c>
      <c r="H1491" s="3" t="str">
        <f t="shared" ca="1" si="1"/>
        <v>St. Bonaventure University</v>
      </c>
      <c r="I1491" s="3" t="str">
        <f t="shared" ca="1" si="2"/>
        <v>'St. Bonaventure University',</v>
      </c>
    </row>
    <row r="1492" spans="1:9">
      <c r="A1492" s="1" t="s">
        <v>1490</v>
      </c>
      <c r="B1492" s="3" t="str">
        <f ca="1">IFERROR(__xludf.DUMMYFUNCTION("SPLIT(A1492,"","")"),"US")</f>
        <v>US</v>
      </c>
      <c r="C1492" s="3" t="str">
        <f ca="1">IFERROR(__xludf.DUMMYFUNCTION("""COMPUTED_VALUE"""),"St. Cloud State University")</f>
        <v>St. Cloud State University</v>
      </c>
      <c r="D1492" s="4" t="str">
        <f ca="1">IFERROR(__xludf.DUMMYFUNCTION("""COMPUTED_VALUE"""),"http://www.stcloudstate.edu/")</f>
        <v>http://www.stcloudstate.edu/</v>
      </c>
      <c r="G1492" s="2" t="str">
        <f t="shared" ca="1" si="0"/>
        <v>St. Cloud State University</v>
      </c>
      <c r="H1492" s="3" t="str">
        <f t="shared" ca="1" si="1"/>
        <v>St. Cloud State University</v>
      </c>
      <c r="I1492" s="3" t="str">
        <f t="shared" ca="1" si="2"/>
        <v>'St. Cloud State University',</v>
      </c>
    </row>
    <row r="1493" spans="1:9">
      <c r="A1493" s="1" t="s">
        <v>1491</v>
      </c>
      <c r="B1493" s="3" t="str">
        <f ca="1">IFERROR(__xludf.DUMMYFUNCTION("SPLIT(A1493,"","")"),"US")</f>
        <v>US</v>
      </c>
      <c r="C1493" s="3" t="str">
        <f ca="1">IFERROR(__xludf.DUMMYFUNCTION("""COMPUTED_VALUE"""),"St. Edwards University")</f>
        <v>St. Edwards University</v>
      </c>
      <c r="D1493" s="4" t="str">
        <f ca="1">IFERROR(__xludf.DUMMYFUNCTION("""COMPUTED_VALUE"""),"http://www.stedwards.edu/")</f>
        <v>http://www.stedwards.edu/</v>
      </c>
      <c r="G1493" s="2" t="str">
        <f t="shared" ca="1" si="0"/>
        <v>St. Edwards University</v>
      </c>
      <c r="H1493" s="3" t="str">
        <f t="shared" ca="1" si="1"/>
        <v>St. Edwards University</v>
      </c>
      <c r="I1493" s="3" t="str">
        <f t="shared" ca="1" si="2"/>
        <v>'St. Edwards University',</v>
      </c>
    </row>
    <row r="1494" spans="1:9">
      <c r="A1494" s="1" t="s">
        <v>1492</v>
      </c>
      <c r="B1494" s="3" t="str">
        <f ca="1">IFERROR(__xludf.DUMMYFUNCTION("SPLIT(A1494,"","")"),"US")</f>
        <v>US</v>
      </c>
      <c r="C1494" s="3" t="str">
        <f ca="1">IFERROR(__xludf.DUMMYFUNCTION("""COMPUTED_VALUE"""),"Stefan University")</f>
        <v>Stefan University</v>
      </c>
      <c r="D1494" s="4" t="str">
        <f ca="1">IFERROR(__xludf.DUMMYFUNCTION("""COMPUTED_VALUE"""),"http://www.stefan-university.edu/")</f>
        <v>http://www.stefan-university.edu/</v>
      </c>
      <c r="G1494" s="2" t="str">
        <f t="shared" ca="1" si="0"/>
        <v>Stefan University</v>
      </c>
      <c r="H1494" s="3" t="str">
        <f t="shared" ca="1" si="1"/>
        <v>Stefan University</v>
      </c>
      <c r="I1494" s="3" t="str">
        <f t="shared" ca="1" si="2"/>
        <v>'Stefan University',</v>
      </c>
    </row>
    <row r="1495" spans="1:9">
      <c r="A1495" s="1" t="s">
        <v>1493</v>
      </c>
      <c r="B1495" s="3" t="str">
        <f ca="1">IFERROR(__xludf.DUMMYFUNCTION("SPLIT(A1495,"","")"),"US")</f>
        <v>US</v>
      </c>
      <c r="C1495" s="3" t="str">
        <f ca="1">IFERROR(__xludf.DUMMYFUNCTION("""COMPUTED_VALUE"""),"Stephen F. Austin State University")</f>
        <v>Stephen F. Austin State University</v>
      </c>
      <c r="D1495" s="4" t="str">
        <f ca="1">IFERROR(__xludf.DUMMYFUNCTION("""COMPUTED_VALUE"""),"http://www.sfasu.edu/")</f>
        <v>http://www.sfasu.edu/</v>
      </c>
      <c r="G1495" s="2" t="str">
        <f t="shared" ca="1" si="0"/>
        <v>Stephen F. Austin State University</v>
      </c>
      <c r="H1495" s="3" t="str">
        <f t="shared" ca="1" si="1"/>
        <v>Stephen F. Austin State University</v>
      </c>
      <c r="I1495" s="3" t="str">
        <f t="shared" ca="1" si="2"/>
        <v>'Stephen F. Austin State University',</v>
      </c>
    </row>
    <row r="1496" spans="1:9">
      <c r="A1496" s="1" t="s">
        <v>1494</v>
      </c>
      <c r="B1496" s="3" t="str">
        <f ca="1">IFERROR(__xludf.DUMMYFUNCTION("SPLIT(A1496,"","")"),"US")</f>
        <v>US</v>
      </c>
      <c r="C1496" s="3" t="str">
        <f ca="1">IFERROR(__xludf.DUMMYFUNCTION("""COMPUTED_VALUE"""),"Stephens College")</f>
        <v>Stephens College</v>
      </c>
      <c r="D1496" s="4" t="str">
        <f ca="1">IFERROR(__xludf.DUMMYFUNCTION("""COMPUTED_VALUE"""),"http://www.stephens.edu/")</f>
        <v>http://www.stephens.edu/</v>
      </c>
      <c r="G1496" s="2" t="str">
        <f t="shared" ca="1" si="0"/>
        <v>Stephens College</v>
      </c>
      <c r="H1496" s="3" t="str">
        <f t="shared" ca="1" si="1"/>
        <v>Stephens College</v>
      </c>
      <c r="I1496" s="3" t="str">
        <f t="shared" ca="1" si="2"/>
        <v>'Stephens College',</v>
      </c>
    </row>
    <row r="1497" spans="1:9">
      <c r="A1497" s="1" t="s">
        <v>1495</v>
      </c>
      <c r="B1497" s="3" t="str">
        <f ca="1">IFERROR(__xludf.DUMMYFUNCTION("SPLIT(A1497,"","")"),"US")</f>
        <v>US</v>
      </c>
      <c r="C1497" s="3" t="str">
        <f ca="1">IFERROR(__xludf.DUMMYFUNCTION("""COMPUTED_VALUE"""),"Sterling College")</f>
        <v>Sterling College</v>
      </c>
      <c r="D1497" s="4" t="str">
        <f ca="1">IFERROR(__xludf.DUMMYFUNCTION("""COMPUTED_VALUE"""),"http://www.sterling.edu/")</f>
        <v>http://www.sterling.edu/</v>
      </c>
      <c r="G1497" s="2" t="str">
        <f t="shared" ca="1" si="0"/>
        <v>Sterling College</v>
      </c>
      <c r="H1497" s="3" t="str">
        <f t="shared" ca="1" si="1"/>
        <v>Sterling College</v>
      </c>
      <c r="I1497" s="3" t="str">
        <f t="shared" ca="1" si="2"/>
        <v>'Sterling College',</v>
      </c>
    </row>
    <row r="1498" spans="1:9">
      <c r="A1498" s="1" t="s">
        <v>1496</v>
      </c>
      <c r="B1498" s="3" t="str">
        <f ca="1">IFERROR(__xludf.DUMMYFUNCTION("SPLIT(A1498,"","")"),"US")</f>
        <v>US</v>
      </c>
      <c r="C1498" s="3" t="str">
        <f ca="1">IFERROR(__xludf.DUMMYFUNCTION("""COMPUTED_VALUE"""),"Stetson University")</f>
        <v>Stetson University</v>
      </c>
      <c r="D1498" s="4" t="str">
        <f ca="1">IFERROR(__xludf.DUMMYFUNCTION("""COMPUTED_VALUE"""),"http://www.stetson.edu/")</f>
        <v>http://www.stetson.edu/</v>
      </c>
      <c r="G1498" s="2" t="str">
        <f t="shared" ca="1" si="0"/>
        <v>Stetson University</v>
      </c>
      <c r="H1498" s="3" t="str">
        <f t="shared" ca="1" si="1"/>
        <v>Stetson University</v>
      </c>
      <c r="I1498" s="3" t="str">
        <f t="shared" ca="1" si="2"/>
        <v>'Stetson University',</v>
      </c>
    </row>
    <row r="1499" spans="1:9">
      <c r="A1499" s="1" t="s">
        <v>1497</v>
      </c>
      <c r="B1499" s="3" t="str">
        <f ca="1">IFERROR(__xludf.DUMMYFUNCTION("SPLIT(A1499,"","")"),"US")</f>
        <v>US</v>
      </c>
      <c r="C1499" s="3" t="str">
        <f ca="1">IFERROR(__xludf.DUMMYFUNCTION("""COMPUTED_VALUE"""),"Stevens Institute of Technology")</f>
        <v>Stevens Institute of Technology</v>
      </c>
      <c r="D1499" s="4" t="str">
        <f ca="1">IFERROR(__xludf.DUMMYFUNCTION("""COMPUTED_VALUE"""),"http://www.stevens-tech.edu/")</f>
        <v>http://www.stevens-tech.edu/</v>
      </c>
      <c r="G1499" s="2" t="str">
        <f t="shared" ca="1" si="0"/>
        <v>Stevens Institute of Technology</v>
      </c>
      <c r="H1499" s="3" t="str">
        <f t="shared" ca="1" si="1"/>
        <v>Stevens Institute of Technology</v>
      </c>
      <c r="I1499" s="3" t="str">
        <f t="shared" ca="1" si="2"/>
        <v>'Stevens Institute of Technology',</v>
      </c>
    </row>
    <row r="1500" spans="1:9">
      <c r="A1500" s="1" t="s">
        <v>1498</v>
      </c>
      <c r="B1500" s="3" t="str">
        <f ca="1">IFERROR(__xludf.DUMMYFUNCTION("SPLIT(A1500,"","")"),"US")</f>
        <v>US</v>
      </c>
      <c r="C1500" s="3" t="str">
        <f ca="1">IFERROR(__xludf.DUMMYFUNCTION("""COMPUTED_VALUE"""),"""St. Francis College")</f>
        <v>"St. Francis College</v>
      </c>
      <c r="D1500" s="3" t="str">
        <f ca="1">IFERROR(__xludf.DUMMYFUNCTION("""COMPUTED_VALUE""")," Brooklyn Heights""")</f>
        <v xml:space="preserve"> Brooklyn Heights"</v>
      </c>
      <c r="E1500" s="4" t="str">
        <f ca="1">IFERROR(__xludf.DUMMYFUNCTION("""COMPUTED_VALUE"""),"http://www.stfranciscollege.edu/")</f>
        <v>http://www.stfranciscollege.edu/</v>
      </c>
      <c r="G1500" s="2" t="str">
        <f t="shared" ca="1" si="0"/>
        <v>"St. Francis College</v>
      </c>
      <c r="H1500" s="3" t="str">
        <f t="shared" ca="1" si="1"/>
        <v>St. Francis College</v>
      </c>
      <c r="I1500" s="3" t="str">
        <f t="shared" ca="1" si="2"/>
        <v>'St. Francis College',</v>
      </c>
    </row>
    <row r="1501" spans="1:9">
      <c r="A1501" s="1" t="s">
        <v>1499</v>
      </c>
      <c r="B1501" s="3" t="str">
        <f ca="1">IFERROR(__xludf.DUMMYFUNCTION("SPLIT(A1501,"","")"),"US")</f>
        <v>US</v>
      </c>
      <c r="C1501" s="3" t="str">
        <f ca="1">IFERROR(__xludf.DUMMYFUNCTION("""COMPUTED_VALUE"""),"""St. Francis College")</f>
        <v>"St. Francis College</v>
      </c>
      <c r="D1501" s="3" t="str">
        <f ca="1">IFERROR(__xludf.DUMMYFUNCTION("""COMPUTED_VALUE""")," Fort Wayne""")</f>
        <v xml:space="preserve"> Fort Wayne"</v>
      </c>
      <c r="E1501" s="4" t="str">
        <f ca="1">IFERROR(__xludf.DUMMYFUNCTION("""COMPUTED_VALUE"""),"http://www.sfc.edu/")</f>
        <v>http://www.sfc.edu/</v>
      </c>
      <c r="G1501" s="2" t="str">
        <f t="shared" ca="1" si="0"/>
        <v>"St. Francis College</v>
      </c>
      <c r="H1501" s="3" t="str">
        <f t="shared" ca="1" si="1"/>
        <v>St. Francis College</v>
      </c>
      <c r="I1501" s="3" t="str">
        <f t="shared" ca="1" si="2"/>
        <v>'St. Francis College',</v>
      </c>
    </row>
    <row r="1502" spans="1:9">
      <c r="A1502" s="1" t="s">
        <v>1500</v>
      </c>
      <c r="B1502" s="3" t="str">
        <f ca="1">IFERROR(__xludf.DUMMYFUNCTION("SPLIT(A1502,"","")"),"US")</f>
        <v>US</v>
      </c>
      <c r="C1502" s="3" t="str">
        <f ca="1">IFERROR(__xludf.DUMMYFUNCTION("""COMPUTED_VALUE"""),"""St. Francis College")</f>
        <v>"St. Francis College</v>
      </c>
      <c r="D1502" s="3" t="str">
        <f ca="1">IFERROR(__xludf.DUMMYFUNCTION("""COMPUTED_VALUE""")," Loretto""")</f>
        <v xml:space="preserve"> Loretto"</v>
      </c>
      <c r="E1502" s="4" t="str">
        <f ca="1">IFERROR(__xludf.DUMMYFUNCTION("""COMPUTED_VALUE"""),"http://www.sfcpa.edu/")</f>
        <v>http://www.sfcpa.edu/</v>
      </c>
      <c r="G1502" s="2" t="str">
        <f t="shared" ca="1" si="0"/>
        <v>"St. Francis College</v>
      </c>
      <c r="H1502" s="3" t="str">
        <f t="shared" ca="1" si="1"/>
        <v>St. Francis College</v>
      </c>
      <c r="I1502" s="3" t="str">
        <f t="shared" ca="1" si="2"/>
        <v>'St. Francis College',</v>
      </c>
    </row>
    <row r="1503" spans="1:9">
      <c r="A1503" s="1" t="s">
        <v>1501</v>
      </c>
      <c r="B1503" s="3" t="str">
        <f ca="1">IFERROR(__xludf.DUMMYFUNCTION("SPLIT(A1503,"","")"),"US")</f>
        <v>US</v>
      </c>
      <c r="C1503" s="3" t="str">
        <f ca="1">IFERROR(__xludf.DUMMYFUNCTION("""COMPUTED_VALUE"""),"St. Francis Medical Center College of Nursing")</f>
        <v>St. Francis Medical Center College of Nursing</v>
      </c>
      <c r="D1503" s="4" t="str">
        <f ca="1">IFERROR(__xludf.DUMMYFUNCTION("""COMPUTED_VALUE"""),"http://www.osfsaintfrancis.org/")</f>
        <v>http://www.osfsaintfrancis.org/</v>
      </c>
      <c r="G1503" s="2" t="str">
        <f t="shared" ca="1" si="0"/>
        <v>St. Francis Medical Center College of Nursing</v>
      </c>
      <c r="H1503" s="3" t="str">
        <f t="shared" ca="1" si="1"/>
        <v>St. Francis Medical Center College of Nursing</v>
      </c>
      <c r="I1503" s="3" t="str">
        <f t="shared" ca="1" si="2"/>
        <v>'St. Francis Medical Center College of Nursing',</v>
      </c>
    </row>
    <row r="1504" spans="1:9">
      <c r="A1504" s="1" t="s">
        <v>1502</v>
      </c>
      <c r="B1504" s="3" t="str">
        <f ca="1">IFERROR(__xludf.DUMMYFUNCTION("SPLIT(A1504,"","")"),"US")</f>
        <v>US</v>
      </c>
      <c r="C1504" s="3" t="str">
        <f ca="1">IFERROR(__xludf.DUMMYFUNCTION("""COMPUTED_VALUE"""),"St. George's University")</f>
        <v>St. George's University</v>
      </c>
      <c r="D1504" s="4" t="str">
        <f ca="1">IFERROR(__xludf.DUMMYFUNCTION("""COMPUTED_VALUE"""),"http://www.sgu.edu/")</f>
        <v>http://www.sgu.edu/</v>
      </c>
      <c r="G1504" s="2" t="str">
        <f t="shared" ca="1" si="0"/>
        <v>St. George's University</v>
      </c>
      <c r="H1504" s="3" t="str">
        <f t="shared" ca="1" si="1"/>
        <v>St. George's University</v>
      </c>
      <c r="I1504" s="3" t="str">
        <f t="shared" ca="1" si="2"/>
        <v>'St. George's University',</v>
      </c>
    </row>
    <row r="1505" spans="1:9">
      <c r="A1505" s="1" t="s">
        <v>1503</v>
      </c>
      <c r="B1505" s="3" t="str">
        <f ca="1">IFERROR(__xludf.DUMMYFUNCTION("SPLIT(A1505,"","")"),"US")</f>
        <v>US</v>
      </c>
      <c r="C1505" s="3" t="str">
        <f ca="1">IFERROR(__xludf.DUMMYFUNCTION("""COMPUTED_VALUE"""),"Stillman College")</f>
        <v>Stillman College</v>
      </c>
      <c r="D1505" s="4" t="str">
        <f ca="1">IFERROR(__xludf.DUMMYFUNCTION("""COMPUTED_VALUE"""),"http://www.stillman.edu/")</f>
        <v>http://www.stillman.edu/</v>
      </c>
      <c r="G1505" s="2" t="str">
        <f t="shared" ca="1" si="0"/>
        <v>Stillman College</v>
      </c>
      <c r="H1505" s="3" t="str">
        <f t="shared" ca="1" si="1"/>
        <v>Stillman College</v>
      </c>
      <c r="I1505" s="3" t="str">
        <f t="shared" ca="1" si="2"/>
        <v>'Stillman College',</v>
      </c>
    </row>
    <row r="1506" spans="1:9">
      <c r="A1506" s="1" t="s">
        <v>1504</v>
      </c>
      <c r="B1506" s="3" t="str">
        <f ca="1">IFERROR(__xludf.DUMMYFUNCTION("SPLIT(A1506,"","")"),"US")</f>
        <v>US</v>
      </c>
      <c r="C1506" s="3" t="str">
        <f ca="1">IFERROR(__xludf.DUMMYFUNCTION("""COMPUTED_VALUE"""),"St. John Fisher College")</f>
        <v>St. John Fisher College</v>
      </c>
      <c r="D1506" s="4" t="str">
        <f ca="1">IFERROR(__xludf.DUMMYFUNCTION("""COMPUTED_VALUE"""),"http://www.sjfc.edu/")</f>
        <v>http://www.sjfc.edu/</v>
      </c>
      <c r="G1506" s="2" t="str">
        <f t="shared" ca="1" si="0"/>
        <v>St. John Fisher College</v>
      </c>
      <c r="H1506" s="3" t="str">
        <f t="shared" ca="1" si="1"/>
        <v>St. John Fisher College</v>
      </c>
      <c r="I1506" s="3" t="str">
        <f t="shared" ca="1" si="2"/>
        <v>'St. John Fisher College',</v>
      </c>
    </row>
    <row r="1507" spans="1:9">
      <c r="A1507" s="1" t="s">
        <v>1505</v>
      </c>
      <c r="B1507" s="3" t="str">
        <f ca="1">IFERROR(__xludf.DUMMYFUNCTION("SPLIT(A1507,"","")"),"US")</f>
        <v>US</v>
      </c>
      <c r="C1507" s="3" t="str">
        <f ca="1">IFERROR(__xludf.DUMMYFUNCTION("""COMPUTED_VALUE"""),"St. John's College Maryland")</f>
        <v>St. John's College Maryland</v>
      </c>
      <c r="D1507" s="4" t="str">
        <f ca="1">IFERROR(__xludf.DUMMYFUNCTION("""COMPUTED_VALUE"""),"http://www.sjca.edu/")</f>
        <v>http://www.sjca.edu/</v>
      </c>
      <c r="G1507" s="2" t="str">
        <f t="shared" ca="1" si="0"/>
        <v>St. John's College Maryland</v>
      </c>
      <c r="H1507" s="3" t="str">
        <f t="shared" ca="1" si="1"/>
        <v>St. John's College Maryland</v>
      </c>
      <c r="I1507" s="3" t="str">
        <f t="shared" ca="1" si="2"/>
        <v>'St. John's College Maryland',</v>
      </c>
    </row>
    <row r="1508" spans="1:9">
      <c r="A1508" s="1" t="s">
        <v>1506</v>
      </c>
      <c r="B1508" s="3" t="str">
        <f ca="1">IFERROR(__xludf.DUMMYFUNCTION("SPLIT(A1508,"","")"),"US")</f>
        <v>US</v>
      </c>
      <c r="C1508" s="3" t="str">
        <f ca="1">IFERROR(__xludf.DUMMYFUNCTION("""COMPUTED_VALUE"""),"St. John's College New Mexico")</f>
        <v>St. John's College New Mexico</v>
      </c>
      <c r="D1508" s="4" t="str">
        <f ca="1">IFERROR(__xludf.DUMMYFUNCTION("""COMPUTED_VALUE"""),"http://www.sjcsf.edu/")</f>
        <v>http://www.sjcsf.edu/</v>
      </c>
      <c r="G1508" s="2" t="str">
        <f t="shared" ca="1" si="0"/>
        <v>St. John's College New Mexico</v>
      </c>
      <c r="H1508" s="3" t="str">
        <f t="shared" ca="1" si="1"/>
        <v>St. John's College New Mexico</v>
      </c>
      <c r="I1508" s="3" t="str">
        <f t="shared" ca="1" si="2"/>
        <v>'St. John's College New Mexico',</v>
      </c>
    </row>
    <row r="1509" spans="1:9">
      <c r="A1509" s="1" t="s">
        <v>1507</v>
      </c>
      <c r="B1509" s="3" t="str">
        <f ca="1">IFERROR(__xludf.DUMMYFUNCTION("SPLIT(A1509,"","")"),"US")</f>
        <v>US</v>
      </c>
      <c r="C1509" s="3" t="str">
        <f ca="1">IFERROR(__xludf.DUMMYFUNCTION("""COMPUTED_VALUE"""),"St. John's Seminary")</f>
        <v>St. John's Seminary</v>
      </c>
      <c r="D1509" s="4" t="str">
        <f ca="1">IFERROR(__xludf.DUMMYFUNCTION("""COMPUTED_VALUE"""),"http://www.stjohnsem.edu/")</f>
        <v>http://www.stjohnsem.edu/</v>
      </c>
      <c r="G1509" s="2" t="str">
        <f t="shared" ca="1" si="0"/>
        <v>St. John's Seminary</v>
      </c>
      <c r="H1509" s="3" t="str">
        <f t="shared" ca="1" si="1"/>
        <v>St. John's Seminary</v>
      </c>
      <c r="I1509" s="3" t="str">
        <f t="shared" ca="1" si="2"/>
        <v>'St. John's Seminary',</v>
      </c>
    </row>
    <row r="1510" spans="1:9">
      <c r="A1510" s="1" t="s">
        <v>1508</v>
      </c>
      <c r="B1510" s="3" t="str">
        <f ca="1">IFERROR(__xludf.DUMMYFUNCTION("SPLIT(A1510,"","")"),"US")</f>
        <v>US</v>
      </c>
      <c r="C1510" s="3" t="str">
        <f ca="1">IFERROR(__xludf.DUMMYFUNCTION("""COMPUTED_VALUE"""),"St. John's University")</f>
        <v>St. John's University</v>
      </c>
      <c r="D1510" s="4" t="str">
        <f ca="1">IFERROR(__xludf.DUMMYFUNCTION("""COMPUTED_VALUE"""),"http://www.stjohns.edu/")</f>
        <v>http://www.stjohns.edu/</v>
      </c>
      <c r="G1510" s="2" t="str">
        <f t="shared" ca="1" si="0"/>
        <v>St. John's University</v>
      </c>
      <c r="H1510" s="3" t="str">
        <f t="shared" ca="1" si="1"/>
        <v>St. John's University</v>
      </c>
      <c r="I1510" s="3" t="str">
        <f t="shared" ca="1" si="2"/>
        <v>'St. John's University',</v>
      </c>
    </row>
    <row r="1511" spans="1:9">
      <c r="A1511" s="1" t="s">
        <v>1509</v>
      </c>
      <c r="B1511" s="3" t="str">
        <f ca="1">IFERROR(__xludf.DUMMYFUNCTION("SPLIT(A1511,"","")"),"US")</f>
        <v>US</v>
      </c>
      <c r="C1511" s="3" t="str">
        <f ca="1">IFERROR(__xludf.DUMMYFUNCTION("""COMPUTED_VALUE"""),"St. Joseph College")</f>
        <v>St. Joseph College</v>
      </c>
      <c r="D1511" s="4" t="str">
        <f ca="1">IFERROR(__xludf.DUMMYFUNCTION("""COMPUTED_VALUE"""),"http://www.sjc.edu/")</f>
        <v>http://www.sjc.edu/</v>
      </c>
      <c r="G1511" s="2" t="str">
        <f t="shared" ca="1" si="0"/>
        <v>St. Joseph College</v>
      </c>
      <c r="H1511" s="3" t="str">
        <f t="shared" ca="1" si="1"/>
        <v>St. Joseph College</v>
      </c>
      <c r="I1511" s="3" t="str">
        <f t="shared" ca="1" si="2"/>
        <v>'St. Joseph College',</v>
      </c>
    </row>
    <row r="1512" spans="1:9">
      <c r="A1512" s="1" t="s">
        <v>1510</v>
      </c>
      <c r="B1512" s="3" t="str">
        <f ca="1">IFERROR(__xludf.DUMMYFUNCTION("SPLIT(A1512,"","")"),"US")</f>
        <v>US</v>
      </c>
      <c r="C1512" s="3" t="str">
        <f ca="1">IFERROR(__xludf.DUMMYFUNCTION("""COMPUTED_VALUE"""),"St. Joseph College of Nursing")</f>
        <v>St. Joseph College of Nursing</v>
      </c>
      <c r="D1512" s="4" t="str">
        <f ca="1">IFERROR(__xludf.DUMMYFUNCTION("""COMPUTED_VALUE"""),"http://www.stfrancis.edu/sjcn/sjcnhome.htm")</f>
        <v>http://www.stfrancis.edu/sjcn/sjcnhome.htm</v>
      </c>
      <c r="G1512" s="2" t="str">
        <f t="shared" ca="1" si="0"/>
        <v>St. Joseph College of Nursing</v>
      </c>
      <c r="H1512" s="3" t="str">
        <f t="shared" ca="1" si="1"/>
        <v>St. Joseph College of Nursing</v>
      </c>
      <c r="I1512" s="3" t="str">
        <f t="shared" ca="1" si="2"/>
        <v>'St. Joseph College of Nursing',</v>
      </c>
    </row>
    <row r="1513" spans="1:9">
      <c r="A1513" s="1" t="s">
        <v>1511</v>
      </c>
      <c r="B1513" s="3" t="str">
        <f ca="1">IFERROR(__xludf.DUMMYFUNCTION("SPLIT(A1513,"","")"),"US")</f>
        <v>US</v>
      </c>
      <c r="C1513" s="3" t="str">
        <f ca="1">IFERROR(__xludf.DUMMYFUNCTION("""COMPUTED_VALUE"""),"St. Joseph's College")</f>
        <v>St. Joseph's College</v>
      </c>
      <c r="D1513" s="4" t="str">
        <f ca="1">IFERROR(__xludf.DUMMYFUNCTION("""COMPUTED_VALUE"""),"http://www.saintjoe.edu/")</f>
        <v>http://www.saintjoe.edu/</v>
      </c>
      <c r="G1513" s="2" t="str">
        <f t="shared" ca="1" si="0"/>
        <v>St. Joseph's College</v>
      </c>
      <c r="H1513" s="3" t="str">
        <f t="shared" ca="1" si="1"/>
        <v>St. Joseph's College</v>
      </c>
      <c r="I1513" s="3" t="str">
        <f t="shared" ca="1" si="2"/>
        <v>'St. Joseph's College',</v>
      </c>
    </row>
    <row r="1514" spans="1:9">
      <c r="A1514" s="1" t="s">
        <v>1512</v>
      </c>
      <c r="B1514" s="3" t="str">
        <f ca="1">IFERROR(__xludf.DUMMYFUNCTION("SPLIT(A1514,"","")"),"US")</f>
        <v>US</v>
      </c>
      <c r="C1514" s="3" t="str">
        <f ca="1">IFERROR(__xludf.DUMMYFUNCTION("""COMPUTED_VALUE"""),"St. Joseph's College New York")</f>
        <v>St. Joseph's College New York</v>
      </c>
      <c r="D1514" s="4" t="str">
        <f ca="1">IFERROR(__xludf.DUMMYFUNCTION("""COMPUTED_VALUE"""),"http://www.sjcny.edu/")</f>
        <v>http://www.sjcny.edu/</v>
      </c>
      <c r="G1514" s="2" t="str">
        <f t="shared" ca="1" si="0"/>
        <v>St. Joseph's College New York</v>
      </c>
      <c r="H1514" s="3" t="str">
        <f t="shared" ca="1" si="1"/>
        <v>St. Joseph's College New York</v>
      </c>
      <c r="I1514" s="3" t="str">
        <f t="shared" ca="1" si="2"/>
        <v>'St. Joseph's College New York',</v>
      </c>
    </row>
    <row r="1515" spans="1:9">
      <c r="A1515" s="1" t="s">
        <v>1513</v>
      </c>
      <c r="B1515" s="3" t="str">
        <f ca="1">IFERROR(__xludf.DUMMYFUNCTION("SPLIT(A1515,"","")"),"US")</f>
        <v>US</v>
      </c>
      <c r="C1515" s="3" t="str">
        <f ca="1">IFERROR(__xludf.DUMMYFUNCTION("""COMPUTED_VALUE"""),"""St. Joseph's College New York")</f>
        <v>"St. Joseph's College New York</v>
      </c>
      <c r="D1515" s="3" t="str">
        <f ca="1">IFERROR(__xludf.DUMMYFUNCTION("""COMPUTED_VALUE""")," Suffolk Campus""")</f>
        <v xml:space="preserve"> Suffolk Campus"</v>
      </c>
      <c r="E1515" s="4" t="str">
        <f ca="1">IFERROR(__xludf.DUMMYFUNCTION("""COMPUTED_VALUE"""),"http://www.sjcny.edu/patchogue/")</f>
        <v>http://www.sjcny.edu/patchogue/</v>
      </c>
      <c r="G1515" s="2" t="str">
        <f t="shared" ca="1" si="0"/>
        <v>"St. Joseph's College New York</v>
      </c>
      <c r="H1515" s="3" t="str">
        <f t="shared" ca="1" si="1"/>
        <v>St. Joseph's College New York</v>
      </c>
      <c r="I1515" s="3" t="str">
        <f t="shared" ca="1" si="2"/>
        <v>'St. Joseph's College New York',</v>
      </c>
    </row>
    <row r="1516" spans="1:9">
      <c r="A1516" s="1" t="s">
        <v>1514</v>
      </c>
      <c r="B1516" s="3" t="str">
        <f ca="1">IFERROR(__xludf.DUMMYFUNCTION("SPLIT(A1516,"","")"),"US")</f>
        <v>US</v>
      </c>
      <c r="C1516" s="3" t="str">
        <f ca="1">IFERROR(__xludf.DUMMYFUNCTION("""COMPUTED_VALUE"""),"St. Joseph's College of Maine")</f>
        <v>St. Joseph's College of Maine</v>
      </c>
      <c r="D1516" s="4" t="str">
        <f ca="1">IFERROR(__xludf.DUMMYFUNCTION("""COMPUTED_VALUE"""),"http://www.sjcme.edu/")</f>
        <v>http://www.sjcme.edu/</v>
      </c>
      <c r="G1516" s="2" t="str">
        <f t="shared" ca="1" si="0"/>
        <v>St. Joseph's College of Maine</v>
      </c>
      <c r="H1516" s="3" t="str">
        <f t="shared" ca="1" si="1"/>
        <v>St. Joseph's College of Maine</v>
      </c>
      <c r="I1516" s="3" t="str">
        <f t="shared" ca="1" si="2"/>
        <v>'St. Joseph's College of Maine',</v>
      </c>
    </row>
    <row r="1517" spans="1:9">
      <c r="A1517" s="1" t="s">
        <v>1515</v>
      </c>
      <c r="B1517" s="3" t="str">
        <f ca="1">IFERROR(__xludf.DUMMYFUNCTION("SPLIT(A1517,"","")"),"US")</f>
        <v>US</v>
      </c>
      <c r="C1517" s="3" t="str">
        <f ca="1">IFERROR(__xludf.DUMMYFUNCTION("""COMPUTED_VALUE"""),"St. Joseph's University")</f>
        <v>St. Joseph's University</v>
      </c>
      <c r="D1517" s="4" t="str">
        <f ca="1">IFERROR(__xludf.DUMMYFUNCTION("""COMPUTED_VALUE"""),"http://www.sju.edu/")</f>
        <v>http://www.sju.edu/</v>
      </c>
      <c r="G1517" s="2" t="str">
        <f t="shared" ca="1" si="0"/>
        <v>St. Joseph's University</v>
      </c>
      <c r="H1517" s="3" t="str">
        <f t="shared" ca="1" si="1"/>
        <v>St. Joseph's University</v>
      </c>
      <c r="I1517" s="3" t="str">
        <f t="shared" ca="1" si="2"/>
        <v>'St. Joseph's University',</v>
      </c>
    </row>
    <row r="1518" spans="1:9">
      <c r="A1518" s="1" t="s">
        <v>1516</v>
      </c>
      <c r="B1518" s="3" t="str">
        <f ca="1">IFERROR(__xludf.DUMMYFUNCTION("SPLIT(A1518,"","")"),"US")</f>
        <v>US</v>
      </c>
      <c r="C1518" s="3" t="str">
        <f ca="1">IFERROR(__xludf.DUMMYFUNCTION("""COMPUTED_VALUE"""),"St. Lawrence University")</f>
        <v>St. Lawrence University</v>
      </c>
      <c r="D1518" s="4" t="str">
        <f ca="1">IFERROR(__xludf.DUMMYFUNCTION("""COMPUTED_VALUE"""),"http://www.stlawu.edu/")</f>
        <v>http://www.stlawu.edu/</v>
      </c>
      <c r="G1518" s="2" t="str">
        <f t="shared" ca="1" si="0"/>
        <v>St. Lawrence University</v>
      </c>
      <c r="H1518" s="3" t="str">
        <f t="shared" ca="1" si="1"/>
        <v>St. Lawrence University</v>
      </c>
      <c r="I1518" s="3" t="str">
        <f t="shared" ca="1" si="2"/>
        <v>'St. Lawrence University',</v>
      </c>
    </row>
    <row r="1519" spans="1:9">
      <c r="A1519" s="1" t="s">
        <v>1517</v>
      </c>
      <c r="B1519" s="3" t="str">
        <f ca="1">IFERROR(__xludf.DUMMYFUNCTION("SPLIT(A1519,"","")"),"US")</f>
        <v>US</v>
      </c>
      <c r="C1519" s="3" t="str">
        <f ca="1">IFERROR(__xludf.DUMMYFUNCTION("""COMPUTED_VALUE"""),"St. Leo College")</f>
        <v>St. Leo College</v>
      </c>
      <c r="D1519" s="4" t="str">
        <f ca="1">IFERROR(__xludf.DUMMYFUNCTION("""COMPUTED_VALUE"""),"http://www.saintleo.edu/")</f>
        <v>http://www.saintleo.edu/</v>
      </c>
      <c r="G1519" s="2" t="str">
        <f t="shared" ca="1" si="0"/>
        <v>St. Leo College</v>
      </c>
      <c r="H1519" s="3" t="str">
        <f t="shared" ca="1" si="1"/>
        <v>St. Leo College</v>
      </c>
      <c r="I1519" s="3" t="str">
        <f t="shared" ca="1" si="2"/>
        <v>'St. Leo College',</v>
      </c>
    </row>
    <row r="1520" spans="1:9">
      <c r="A1520" s="1" t="s">
        <v>1518</v>
      </c>
      <c r="B1520" s="3" t="str">
        <f ca="1">IFERROR(__xludf.DUMMYFUNCTION("SPLIT(A1520,"","")"),"US")</f>
        <v>US</v>
      </c>
      <c r="C1520" s="3" t="str">
        <f ca="1">IFERROR(__xludf.DUMMYFUNCTION("""COMPUTED_VALUE"""),"St. Louis Christian College")</f>
        <v>St. Louis Christian College</v>
      </c>
      <c r="D1520" s="4" t="str">
        <f ca="1">IFERROR(__xludf.DUMMYFUNCTION("""COMPUTED_VALUE"""),"http://www.slcc4ministry.edu/")</f>
        <v>http://www.slcc4ministry.edu/</v>
      </c>
      <c r="G1520" s="2" t="str">
        <f t="shared" ca="1" si="0"/>
        <v>St. Louis Christian College</v>
      </c>
      <c r="H1520" s="3" t="str">
        <f t="shared" ca="1" si="1"/>
        <v>St. Louis Christian College</v>
      </c>
      <c r="I1520" s="3" t="str">
        <f t="shared" ca="1" si="2"/>
        <v>'St. Louis Christian College',</v>
      </c>
    </row>
    <row r="1521" spans="1:9">
      <c r="A1521" s="1" t="s">
        <v>1519</v>
      </c>
      <c r="B1521" s="3" t="str">
        <f ca="1">IFERROR(__xludf.DUMMYFUNCTION("SPLIT(A1521,"","")"),"US")</f>
        <v>US</v>
      </c>
      <c r="C1521" s="3" t="str">
        <f ca="1">IFERROR(__xludf.DUMMYFUNCTION("""COMPUTED_VALUE"""),"St. Louis College of Pharmacy")</f>
        <v>St. Louis College of Pharmacy</v>
      </c>
      <c r="D1521" s="4" t="str">
        <f ca="1">IFERROR(__xludf.DUMMYFUNCTION("""COMPUTED_VALUE"""),"http://www.stlcop.edu/")</f>
        <v>http://www.stlcop.edu/</v>
      </c>
      <c r="G1521" s="2" t="str">
        <f t="shared" ca="1" si="0"/>
        <v>St. Louis College of Pharmacy</v>
      </c>
      <c r="H1521" s="3" t="str">
        <f t="shared" ca="1" si="1"/>
        <v>St. Louis College of Pharmacy</v>
      </c>
      <c r="I1521" s="3" t="str">
        <f t="shared" ca="1" si="2"/>
        <v>'St. Louis College of Pharmacy',</v>
      </c>
    </row>
    <row r="1522" spans="1:9">
      <c r="A1522" s="1" t="s">
        <v>1520</v>
      </c>
      <c r="B1522" s="3" t="str">
        <f ca="1">IFERROR(__xludf.DUMMYFUNCTION("SPLIT(A1522,"","")"),"US")</f>
        <v>US</v>
      </c>
      <c r="C1522" s="3" t="str">
        <f ca="1">IFERROR(__xludf.DUMMYFUNCTION("""COMPUTED_VALUE"""),"St. Louis University")</f>
        <v>St. Louis University</v>
      </c>
      <c r="D1522" s="4" t="str">
        <f ca="1">IFERROR(__xludf.DUMMYFUNCTION("""COMPUTED_VALUE"""),"http://www.slu.edu/")</f>
        <v>http://www.slu.edu/</v>
      </c>
      <c r="G1522" s="2" t="str">
        <f t="shared" ca="1" si="0"/>
        <v>St. Louis University</v>
      </c>
      <c r="H1522" s="3" t="str">
        <f t="shared" ca="1" si="1"/>
        <v>St. Louis University</v>
      </c>
      <c r="I1522" s="3" t="str">
        <f t="shared" ca="1" si="2"/>
        <v>'St. Louis University',</v>
      </c>
    </row>
    <row r="1523" spans="1:9">
      <c r="A1523" s="1" t="s">
        <v>1521</v>
      </c>
      <c r="B1523" s="3" t="str">
        <f ca="1">IFERROR(__xludf.DUMMYFUNCTION("SPLIT(A1523,"","")"),"US")</f>
        <v>US</v>
      </c>
      <c r="C1523" s="3" t="str">
        <f ca="1">IFERROR(__xludf.DUMMYFUNCTION("""COMPUTED_VALUE"""),"St. Luke's College")</f>
        <v>St. Luke's College</v>
      </c>
      <c r="D1523" s="4" t="str">
        <f ca="1">IFERROR(__xludf.DUMMYFUNCTION("""COMPUTED_VALUE"""),"http://www.saint-lukes.org/about/slc/")</f>
        <v>http://www.saint-lukes.org/about/slc/</v>
      </c>
      <c r="G1523" s="2" t="str">
        <f t="shared" ca="1" si="0"/>
        <v>St. Luke's College</v>
      </c>
      <c r="H1523" s="3" t="str">
        <f t="shared" ca="1" si="1"/>
        <v>St. Luke's College</v>
      </c>
      <c r="I1523" s="3" t="str">
        <f t="shared" ca="1" si="2"/>
        <v>'St. Luke's College',</v>
      </c>
    </row>
    <row r="1524" spans="1:9">
      <c r="A1524" s="1" t="s">
        <v>1522</v>
      </c>
      <c r="B1524" s="3" t="str">
        <f ca="1">IFERROR(__xludf.DUMMYFUNCTION("SPLIT(A1524,"","")"),"US")</f>
        <v>US</v>
      </c>
      <c r="C1524" s="3" t="str">
        <f ca="1">IFERROR(__xludf.DUMMYFUNCTION("""COMPUTED_VALUE"""),"St. Martin's College")</f>
        <v>St. Martin's College</v>
      </c>
      <c r="D1524" s="4" t="str">
        <f ca="1">IFERROR(__xludf.DUMMYFUNCTION("""COMPUTED_VALUE"""),"http://www.stmartin.edu/")</f>
        <v>http://www.stmartin.edu/</v>
      </c>
      <c r="G1524" s="2" t="str">
        <f t="shared" ca="1" si="0"/>
        <v>St. Martin's College</v>
      </c>
      <c r="H1524" s="3" t="str">
        <f t="shared" ca="1" si="1"/>
        <v>St. Martin's College</v>
      </c>
      <c r="I1524" s="3" t="str">
        <f t="shared" ca="1" si="2"/>
        <v>'St. Martin's College',</v>
      </c>
    </row>
    <row r="1525" spans="1:9">
      <c r="A1525" s="1" t="s">
        <v>1523</v>
      </c>
      <c r="B1525" s="3" t="str">
        <f ca="1">IFERROR(__xludf.DUMMYFUNCTION("SPLIT(A1525,"","")"),"US")</f>
        <v>US</v>
      </c>
      <c r="C1525" s="3" t="str">
        <f ca="1">IFERROR(__xludf.DUMMYFUNCTION("""COMPUTED_VALUE"""),"St. Mary College")</f>
        <v>St. Mary College</v>
      </c>
      <c r="D1525" s="4" t="str">
        <f ca="1">IFERROR(__xludf.DUMMYFUNCTION("""COMPUTED_VALUE"""),"http://www.smcks.edu/")</f>
        <v>http://www.smcks.edu/</v>
      </c>
      <c r="G1525" s="2" t="str">
        <f t="shared" ca="1" si="0"/>
        <v>St. Mary College</v>
      </c>
      <c r="H1525" s="3" t="str">
        <f t="shared" ca="1" si="1"/>
        <v>St. Mary College</v>
      </c>
      <c r="I1525" s="3" t="str">
        <f t="shared" ca="1" si="2"/>
        <v>'St. Mary College',</v>
      </c>
    </row>
    <row r="1526" spans="1:9">
      <c r="A1526" s="1" t="s">
        <v>1524</v>
      </c>
      <c r="B1526" s="3" t="str">
        <f ca="1">IFERROR(__xludf.DUMMYFUNCTION("SPLIT(A1526,"","")"),"US")</f>
        <v>US</v>
      </c>
      <c r="C1526" s="3" t="str">
        <f ca="1">IFERROR(__xludf.DUMMYFUNCTION("""COMPUTED_VALUE"""),"St. Mary-of-the-Woods College")</f>
        <v>St. Mary-of-the-Woods College</v>
      </c>
      <c r="D1526" s="4" t="str">
        <f ca="1">IFERROR(__xludf.DUMMYFUNCTION("""COMPUTED_VALUE"""),"http://www.smwc.edu/")</f>
        <v>http://www.smwc.edu/</v>
      </c>
      <c r="G1526" s="2" t="str">
        <f t="shared" ca="1" si="0"/>
        <v>St. Mary-of-the-Woods College</v>
      </c>
      <c r="H1526" s="3" t="str">
        <f t="shared" ca="1" si="1"/>
        <v>St. Mary-of-the-Woods College</v>
      </c>
      <c r="I1526" s="3" t="str">
        <f t="shared" ca="1" si="2"/>
        <v>'St. Mary-of-the-Woods College',</v>
      </c>
    </row>
    <row r="1527" spans="1:9">
      <c r="A1527" s="1" t="s">
        <v>1525</v>
      </c>
      <c r="B1527" s="3" t="str">
        <f ca="1">IFERROR(__xludf.DUMMYFUNCTION("SPLIT(A1527,"","")"),"US")</f>
        <v>US</v>
      </c>
      <c r="C1527" s="3" t="str">
        <f ca="1">IFERROR(__xludf.DUMMYFUNCTION("""COMPUTED_VALUE"""),"St. Mary's College Indiana")</f>
        <v>St. Mary's College Indiana</v>
      </c>
      <c r="D1527" s="4" t="str">
        <f ca="1">IFERROR(__xludf.DUMMYFUNCTION("""COMPUTED_VALUE"""),"http://www.saintmarys.edu/")</f>
        <v>http://www.saintmarys.edu/</v>
      </c>
      <c r="G1527" s="2" t="str">
        <f t="shared" ca="1" si="0"/>
        <v>St. Mary's College Indiana</v>
      </c>
      <c r="H1527" s="3" t="str">
        <f t="shared" ca="1" si="1"/>
        <v>St. Mary's College Indiana</v>
      </c>
      <c r="I1527" s="3" t="str">
        <f t="shared" ca="1" si="2"/>
        <v>'St. Mary's College Indiana',</v>
      </c>
    </row>
    <row r="1528" spans="1:9">
      <c r="A1528" s="1" t="s">
        <v>1526</v>
      </c>
      <c r="B1528" s="3" t="str">
        <f ca="1">IFERROR(__xludf.DUMMYFUNCTION("SPLIT(A1528,"","")"),"US")</f>
        <v>US</v>
      </c>
      <c r="C1528" s="3" t="str">
        <f ca="1">IFERROR(__xludf.DUMMYFUNCTION("""COMPUTED_VALUE"""),"St. Mary's College of California")</f>
        <v>St. Mary's College of California</v>
      </c>
      <c r="D1528" s="4" t="str">
        <f ca="1">IFERROR(__xludf.DUMMYFUNCTION("""COMPUTED_VALUE"""),"http://www.stmarys-ca.edu/")</f>
        <v>http://www.stmarys-ca.edu/</v>
      </c>
      <c r="G1528" s="2" t="str">
        <f t="shared" ca="1" si="0"/>
        <v>St. Mary's College of California</v>
      </c>
      <c r="H1528" s="3" t="str">
        <f t="shared" ca="1" si="1"/>
        <v>St. Mary's College of California</v>
      </c>
      <c r="I1528" s="3" t="str">
        <f t="shared" ca="1" si="2"/>
        <v>'St. Mary's College of California',</v>
      </c>
    </row>
    <row r="1529" spans="1:9">
      <c r="A1529" s="1" t="s">
        <v>1527</v>
      </c>
      <c r="B1529" s="3" t="str">
        <f ca="1">IFERROR(__xludf.DUMMYFUNCTION("SPLIT(A1529,"","")"),"US")</f>
        <v>US</v>
      </c>
      <c r="C1529" s="3" t="str">
        <f ca="1">IFERROR(__xludf.DUMMYFUNCTION("""COMPUTED_VALUE"""),"St. Mary's College of Maryland")</f>
        <v>St. Mary's College of Maryland</v>
      </c>
      <c r="D1529" s="4" t="str">
        <f ca="1">IFERROR(__xludf.DUMMYFUNCTION("""COMPUTED_VALUE"""),"http://www.smcm.edu/")</f>
        <v>http://www.smcm.edu/</v>
      </c>
      <c r="G1529" s="2" t="str">
        <f t="shared" ca="1" si="0"/>
        <v>St. Mary's College of Maryland</v>
      </c>
      <c r="H1529" s="3" t="str">
        <f t="shared" ca="1" si="1"/>
        <v>St. Mary's College of Maryland</v>
      </c>
      <c r="I1529" s="3" t="str">
        <f t="shared" ca="1" si="2"/>
        <v>'St. Mary's College of Maryland',</v>
      </c>
    </row>
    <row r="1530" spans="1:9">
      <c r="A1530" s="1" t="s">
        <v>1528</v>
      </c>
      <c r="B1530" s="3" t="str">
        <f ca="1">IFERROR(__xludf.DUMMYFUNCTION("SPLIT(A1530,"","")"),"US")</f>
        <v>US</v>
      </c>
      <c r="C1530" s="3" t="str">
        <f ca="1">IFERROR(__xludf.DUMMYFUNCTION("""COMPUTED_VALUE"""),"St. Mary's University of Minnesota")</f>
        <v>St. Mary's University of Minnesota</v>
      </c>
      <c r="D1530" s="4" t="str">
        <f ca="1">IFERROR(__xludf.DUMMYFUNCTION("""COMPUTED_VALUE"""),"http://www.smumn.edu/")</f>
        <v>http://www.smumn.edu/</v>
      </c>
      <c r="G1530" s="2" t="str">
        <f t="shared" ca="1" si="0"/>
        <v>St. Mary's University of Minnesota</v>
      </c>
      <c r="H1530" s="3" t="str">
        <f t="shared" ca="1" si="1"/>
        <v>St. Mary's University of Minnesota</v>
      </c>
      <c r="I1530" s="3" t="str">
        <f t="shared" ca="1" si="2"/>
        <v>'St. Mary's University of Minnesota',</v>
      </c>
    </row>
    <row r="1531" spans="1:9">
      <c r="A1531" s="1" t="s">
        <v>1529</v>
      </c>
      <c r="B1531" s="3" t="str">
        <f ca="1">IFERROR(__xludf.DUMMYFUNCTION("SPLIT(A1531,"","")"),"US")</f>
        <v>US</v>
      </c>
      <c r="C1531" s="3" t="str">
        <f ca="1">IFERROR(__xludf.DUMMYFUNCTION("""COMPUTED_VALUE"""),"St. Mary's University of San Antonio")</f>
        <v>St. Mary's University of San Antonio</v>
      </c>
      <c r="D1531" s="4" t="str">
        <f ca="1">IFERROR(__xludf.DUMMYFUNCTION("""COMPUTED_VALUE"""),"http://www.stmarytx.edu/")</f>
        <v>http://www.stmarytx.edu/</v>
      </c>
      <c r="G1531" s="2" t="str">
        <f t="shared" ca="1" si="0"/>
        <v>St. Mary's University of San Antonio</v>
      </c>
      <c r="H1531" s="3" t="str">
        <f t="shared" ca="1" si="1"/>
        <v>St. Mary's University of San Antonio</v>
      </c>
      <c r="I1531" s="3" t="str">
        <f t="shared" ca="1" si="2"/>
        <v>'St. Mary's University of San Antonio',</v>
      </c>
    </row>
    <row r="1532" spans="1:9">
      <c r="A1532" s="1" t="s">
        <v>1530</v>
      </c>
      <c r="B1532" s="3" t="str">
        <f ca="1">IFERROR(__xludf.DUMMYFUNCTION("SPLIT(A1532,"","")"),"US")</f>
        <v>US</v>
      </c>
      <c r="C1532" s="3" t="str">
        <f ca="1">IFERROR(__xludf.DUMMYFUNCTION("""COMPUTED_VALUE"""),"St. Meinrad College")</f>
        <v>St. Meinrad College</v>
      </c>
      <c r="D1532" s="4" t="str">
        <f ca="1">IFERROR(__xludf.DUMMYFUNCTION("""COMPUTED_VALUE"""),"http://www.saintmeinrad.edu/")</f>
        <v>http://www.saintmeinrad.edu/</v>
      </c>
      <c r="G1532" s="2" t="str">
        <f t="shared" ca="1" si="0"/>
        <v>St. Meinrad College</v>
      </c>
      <c r="H1532" s="3" t="str">
        <f t="shared" ca="1" si="1"/>
        <v>St. Meinrad College</v>
      </c>
      <c r="I1532" s="3" t="str">
        <f t="shared" ca="1" si="2"/>
        <v>'St. Meinrad College',</v>
      </c>
    </row>
    <row r="1533" spans="1:9">
      <c r="A1533" s="1" t="s">
        <v>1531</v>
      </c>
      <c r="B1533" s="3" t="str">
        <f ca="1">IFERROR(__xludf.DUMMYFUNCTION("SPLIT(A1533,"","")"),"US")</f>
        <v>US</v>
      </c>
      <c r="C1533" s="3" t="str">
        <f ca="1">IFERROR(__xludf.DUMMYFUNCTION("""COMPUTED_VALUE"""),"St. Michael's College")</f>
        <v>St. Michael's College</v>
      </c>
      <c r="D1533" s="4" t="str">
        <f ca="1">IFERROR(__xludf.DUMMYFUNCTION("""COMPUTED_VALUE"""),"http://www.smcvt.edu/")</f>
        <v>http://www.smcvt.edu/</v>
      </c>
      <c r="G1533" s="2" t="str">
        <f t="shared" ca="1" si="0"/>
        <v>St. Michael's College</v>
      </c>
      <c r="H1533" s="3" t="str">
        <f t="shared" ca="1" si="1"/>
        <v>St. Michael's College</v>
      </c>
      <c r="I1533" s="3" t="str">
        <f t="shared" ca="1" si="2"/>
        <v>'St. Michael's College',</v>
      </c>
    </row>
    <row r="1534" spans="1:9">
      <c r="A1534" s="1" t="s">
        <v>1532</v>
      </c>
      <c r="B1534" s="3" t="str">
        <f ca="1">IFERROR(__xludf.DUMMYFUNCTION("SPLIT(A1534,"","")"),"US")</f>
        <v>US</v>
      </c>
      <c r="C1534" s="3" t="str">
        <f ca="1">IFERROR(__xludf.DUMMYFUNCTION("""COMPUTED_VALUE"""),"St. Norbert College")</f>
        <v>St. Norbert College</v>
      </c>
      <c r="D1534" s="4" t="str">
        <f ca="1">IFERROR(__xludf.DUMMYFUNCTION("""COMPUTED_VALUE"""),"http://www.snc.edu/")</f>
        <v>http://www.snc.edu/</v>
      </c>
      <c r="G1534" s="2" t="str">
        <f t="shared" ca="1" si="0"/>
        <v>St. Norbert College</v>
      </c>
      <c r="H1534" s="3" t="str">
        <f t="shared" ca="1" si="1"/>
        <v>St. Norbert College</v>
      </c>
      <c r="I1534" s="3" t="str">
        <f t="shared" ca="1" si="2"/>
        <v>'St. Norbert College',</v>
      </c>
    </row>
    <row r="1535" spans="1:9">
      <c r="A1535" s="1" t="s">
        <v>1533</v>
      </c>
      <c r="B1535" s="3" t="str">
        <f ca="1">IFERROR(__xludf.DUMMYFUNCTION("SPLIT(A1535,"","")"),"US")</f>
        <v>US</v>
      </c>
      <c r="C1535" s="3" t="str">
        <f ca="1">IFERROR(__xludf.DUMMYFUNCTION("""COMPUTED_VALUE"""),"St. Olaf College")</f>
        <v>St. Olaf College</v>
      </c>
      <c r="D1535" s="4" t="str">
        <f ca="1">IFERROR(__xludf.DUMMYFUNCTION("""COMPUTED_VALUE"""),"http://www.stolaf.edu/")</f>
        <v>http://www.stolaf.edu/</v>
      </c>
      <c r="G1535" s="2" t="str">
        <f t="shared" ca="1" si="0"/>
        <v>St. Olaf College</v>
      </c>
      <c r="H1535" s="3" t="str">
        <f t="shared" ca="1" si="1"/>
        <v>St. Olaf College</v>
      </c>
      <c r="I1535" s="3" t="str">
        <f t="shared" ca="1" si="2"/>
        <v>'St. Olaf College',</v>
      </c>
    </row>
    <row r="1536" spans="1:9">
      <c r="A1536" s="1" t="s">
        <v>1534</v>
      </c>
      <c r="B1536" s="3" t="str">
        <f ca="1">IFERROR(__xludf.DUMMYFUNCTION("SPLIT(A1536,"","")"),"US")</f>
        <v>US</v>
      </c>
      <c r="C1536" s="3" t="str">
        <f ca="1">IFERROR(__xludf.DUMMYFUNCTION("""COMPUTED_VALUE"""),"Stonehill College")</f>
        <v>Stonehill College</v>
      </c>
      <c r="D1536" s="4" t="str">
        <f ca="1">IFERROR(__xludf.DUMMYFUNCTION("""COMPUTED_VALUE"""),"http://www.stonehill.edu/")</f>
        <v>http://www.stonehill.edu/</v>
      </c>
      <c r="G1536" s="2" t="str">
        <f t="shared" ca="1" si="0"/>
        <v>Stonehill College</v>
      </c>
      <c r="H1536" s="3" t="str">
        <f t="shared" ca="1" si="1"/>
        <v>Stonehill College</v>
      </c>
      <c r="I1536" s="3" t="str">
        <f t="shared" ca="1" si="2"/>
        <v>'Stonehill College',</v>
      </c>
    </row>
    <row r="1537" spans="1:9">
      <c r="A1537" s="1" t="s">
        <v>1535</v>
      </c>
      <c r="B1537" s="3" t="str">
        <f ca="1">IFERROR(__xludf.DUMMYFUNCTION("SPLIT(A1537,"","")"),"US")</f>
        <v>US</v>
      </c>
      <c r="C1537" s="3" t="str">
        <f ca="1">IFERROR(__xludf.DUMMYFUNCTION("""COMPUTED_VALUE"""),"St. Paul's College")</f>
        <v>St. Paul's College</v>
      </c>
      <c r="D1537" s="4" t="str">
        <f ca="1">IFERROR(__xludf.DUMMYFUNCTION("""COMPUTED_VALUE"""),"http://www.saintpauls.edu/")</f>
        <v>http://www.saintpauls.edu/</v>
      </c>
      <c r="G1537" s="2" t="str">
        <f t="shared" ca="1" si="0"/>
        <v>St. Paul's College</v>
      </c>
      <c r="H1537" s="3" t="str">
        <f t="shared" ca="1" si="1"/>
        <v>St. Paul's College</v>
      </c>
      <c r="I1537" s="3" t="str">
        <f t="shared" ca="1" si="2"/>
        <v>'St. Paul's College',</v>
      </c>
    </row>
    <row r="1538" spans="1:9">
      <c r="A1538" s="1" t="s">
        <v>1536</v>
      </c>
      <c r="B1538" s="3" t="str">
        <f ca="1">IFERROR(__xludf.DUMMYFUNCTION("SPLIT(A1538,"","")"),"US")</f>
        <v>US</v>
      </c>
      <c r="C1538" s="3" t="str">
        <f ca="1">IFERROR(__xludf.DUMMYFUNCTION("""COMPUTED_VALUE"""),"St. Petersburg College")</f>
        <v>St. Petersburg College</v>
      </c>
      <c r="D1538" s="4" t="str">
        <f ca="1">IFERROR(__xludf.DUMMYFUNCTION("""COMPUTED_VALUE"""),"http://www.spcollege.edu/")</f>
        <v>http://www.spcollege.edu/</v>
      </c>
      <c r="G1538" s="2" t="str">
        <f t="shared" ca="1" si="0"/>
        <v>St. Petersburg College</v>
      </c>
      <c r="H1538" s="3" t="str">
        <f t="shared" ca="1" si="1"/>
        <v>St. Petersburg College</v>
      </c>
      <c r="I1538" s="3" t="str">
        <f t="shared" ca="1" si="2"/>
        <v>'St. Petersburg College',</v>
      </c>
    </row>
    <row r="1539" spans="1:9">
      <c r="A1539" s="1" t="s">
        <v>1537</v>
      </c>
      <c r="B1539" s="3" t="str">
        <f ca="1">IFERROR(__xludf.DUMMYFUNCTION("SPLIT(A1539,"","")"),"US")</f>
        <v>US</v>
      </c>
      <c r="C1539" s="3" t="str">
        <f ca="1">IFERROR(__xludf.DUMMYFUNCTION("""COMPUTED_VALUE"""),"St. Peter's College")</f>
        <v>St. Peter's College</v>
      </c>
      <c r="D1539" s="4" t="str">
        <f ca="1">IFERROR(__xludf.DUMMYFUNCTION("""COMPUTED_VALUE"""),"http://www.spc.edu/")</f>
        <v>http://www.spc.edu/</v>
      </c>
      <c r="G1539" s="2" t="str">
        <f t="shared" ca="1" si="0"/>
        <v>St. Peter's College</v>
      </c>
      <c r="H1539" s="3" t="str">
        <f t="shared" ca="1" si="1"/>
        <v>St. Peter's College</v>
      </c>
      <c r="I1539" s="3" t="str">
        <f t="shared" ca="1" si="2"/>
        <v>'St. Peter's College',</v>
      </c>
    </row>
    <row r="1540" spans="1:9">
      <c r="A1540" s="1" t="s">
        <v>1538</v>
      </c>
      <c r="B1540" s="3" t="str">
        <f ca="1">IFERROR(__xludf.DUMMYFUNCTION("SPLIT(A1540,"","")"),"US")</f>
        <v>US</v>
      </c>
      <c r="C1540" s="3" t="str">
        <f ca="1">IFERROR(__xludf.DUMMYFUNCTION("""COMPUTED_VALUE"""),"Strayer University")</f>
        <v>Strayer University</v>
      </c>
      <c r="D1540" s="4" t="str">
        <f ca="1">IFERROR(__xludf.DUMMYFUNCTION("""COMPUTED_VALUE"""),"http://www.strayer.edu/")</f>
        <v>http://www.strayer.edu/</v>
      </c>
      <c r="G1540" s="2" t="str">
        <f t="shared" ca="1" si="0"/>
        <v>Strayer University</v>
      </c>
      <c r="H1540" s="3" t="str">
        <f t="shared" ca="1" si="1"/>
        <v>Strayer University</v>
      </c>
      <c r="I1540" s="3" t="str">
        <f t="shared" ca="1" si="2"/>
        <v>'Strayer University',</v>
      </c>
    </row>
    <row r="1541" spans="1:9">
      <c r="A1541" s="1" t="s">
        <v>1539</v>
      </c>
      <c r="B1541" s="3" t="str">
        <f ca="1">IFERROR(__xludf.DUMMYFUNCTION("SPLIT(A1541,"","")"),"US")</f>
        <v>US</v>
      </c>
      <c r="C1541" s="3" t="str">
        <f ca="1">IFERROR(__xludf.DUMMYFUNCTION("""COMPUTED_VALUE"""),"St. Thomas Aquinas College")</f>
        <v>St. Thomas Aquinas College</v>
      </c>
      <c r="D1541" s="4" t="str">
        <f ca="1">IFERROR(__xludf.DUMMYFUNCTION("""COMPUTED_VALUE"""),"http://www.stac.edu/")</f>
        <v>http://www.stac.edu/</v>
      </c>
      <c r="G1541" s="2" t="str">
        <f t="shared" ca="1" si="0"/>
        <v>St. Thomas Aquinas College</v>
      </c>
      <c r="H1541" s="3" t="str">
        <f t="shared" ca="1" si="1"/>
        <v>St. Thomas Aquinas College</v>
      </c>
      <c r="I1541" s="3" t="str">
        <f t="shared" ca="1" si="2"/>
        <v>'St. Thomas Aquinas College',</v>
      </c>
    </row>
    <row r="1542" spans="1:9">
      <c r="A1542" s="1" t="s">
        <v>1540</v>
      </c>
      <c r="B1542" s="3" t="str">
        <f ca="1">IFERROR(__xludf.DUMMYFUNCTION("SPLIT(A1542,"","")"),"US")</f>
        <v>US</v>
      </c>
      <c r="C1542" s="3" t="str">
        <f ca="1">IFERROR(__xludf.DUMMYFUNCTION("""COMPUTED_VALUE"""),"St. Thomas University")</f>
        <v>St. Thomas University</v>
      </c>
      <c r="D1542" s="4" t="str">
        <f ca="1">IFERROR(__xludf.DUMMYFUNCTION("""COMPUTED_VALUE"""),"http://www.stu.edu/")</f>
        <v>http://www.stu.edu/</v>
      </c>
      <c r="G1542" s="2" t="str">
        <f t="shared" ca="1" si="0"/>
        <v>St. Thomas University</v>
      </c>
      <c r="H1542" s="3" t="str">
        <f t="shared" ca="1" si="1"/>
        <v>St. Thomas University</v>
      </c>
      <c r="I1542" s="3" t="str">
        <f t="shared" ca="1" si="2"/>
        <v>'St. Thomas University',</v>
      </c>
    </row>
    <row r="1543" spans="1:9">
      <c r="A1543" s="1" t="s">
        <v>1541</v>
      </c>
      <c r="B1543" s="3" t="str">
        <f ca="1">IFERROR(__xludf.DUMMYFUNCTION("SPLIT(A1543,"","")"),"US")</f>
        <v>US</v>
      </c>
      <c r="C1543" s="3" t="str">
        <f ca="1">IFERROR(__xludf.DUMMYFUNCTION("""COMPUTED_VALUE"""),"St. Vincent College")</f>
        <v>St. Vincent College</v>
      </c>
      <c r="D1543" s="4" t="str">
        <f ca="1">IFERROR(__xludf.DUMMYFUNCTION("""COMPUTED_VALUE"""),"http://www.stvincent.edu/")</f>
        <v>http://www.stvincent.edu/</v>
      </c>
      <c r="G1543" s="2" t="str">
        <f t="shared" ca="1" si="0"/>
        <v>St. Vincent College</v>
      </c>
      <c r="H1543" s="3" t="str">
        <f t="shared" ca="1" si="1"/>
        <v>St. Vincent College</v>
      </c>
      <c r="I1543" s="3" t="str">
        <f t="shared" ca="1" si="2"/>
        <v>'St. Vincent College',</v>
      </c>
    </row>
    <row r="1544" spans="1:9">
      <c r="A1544" s="1" t="s">
        <v>1542</v>
      </c>
      <c r="B1544" s="3" t="str">
        <f ca="1">IFERROR(__xludf.DUMMYFUNCTION("SPLIT(A1544,"","")"),"US")</f>
        <v>US</v>
      </c>
      <c r="C1544" s="3" t="str">
        <f ca="1">IFERROR(__xludf.DUMMYFUNCTION("""COMPUTED_VALUE"""),"St. Xavier University")</f>
        <v>St. Xavier University</v>
      </c>
      <c r="D1544" s="4" t="str">
        <f ca="1">IFERROR(__xludf.DUMMYFUNCTION("""COMPUTED_VALUE"""),"http://www.sxu.edu/")</f>
        <v>http://www.sxu.edu/</v>
      </c>
      <c r="G1544" s="2" t="str">
        <f t="shared" ca="1" si="0"/>
        <v>St. Xavier University</v>
      </c>
      <c r="H1544" s="3" t="str">
        <f t="shared" ca="1" si="1"/>
        <v>St. Xavier University</v>
      </c>
      <c r="I1544" s="3" t="str">
        <f t="shared" ca="1" si="2"/>
        <v>'St. Xavier University',</v>
      </c>
    </row>
    <row r="1545" spans="1:9">
      <c r="A1545" s="1" t="s">
        <v>1543</v>
      </c>
      <c r="B1545" s="3" t="str">
        <f ca="1">IFERROR(__xludf.DUMMYFUNCTION("SPLIT(A1545,"","")"),"US")</f>
        <v>US</v>
      </c>
      <c r="C1545" s="3" t="str">
        <f ca="1">IFERROR(__xludf.DUMMYFUNCTION("""COMPUTED_VALUE"""),"Suffolk University")</f>
        <v>Suffolk University</v>
      </c>
      <c r="D1545" s="4" t="str">
        <f ca="1">IFERROR(__xludf.DUMMYFUNCTION("""COMPUTED_VALUE"""),"http://www.suffolk.edu/")</f>
        <v>http://www.suffolk.edu/</v>
      </c>
      <c r="G1545" s="2" t="str">
        <f t="shared" ca="1" si="0"/>
        <v>Suffolk University</v>
      </c>
      <c r="H1545" s="3" t="str">
        <f t="shared" ca="1" si="1"/>
        <v>Suffolk University</v>
      </c>
      <c r="I1545" s="3" t="str">
        <f t="shared" ca="1" si="2"/>
        <v>'Suffolk University',</v>
      </c>
    </row>
    <row r="1546" spans="1:9">
      <c r="A1546" s="1" t="s">
        <v>1544</v>
      </c>
      <c r="B1546" s="3" t="str">
        <f ca="1">IFERROR(__xludf.DUMMYFUNCTION("SPLIT(A1546,"","")"),"US")</f>
        <v>US</v>
      </c>
      <c r="C1546" s="3" t="str">
        <f ca="1">IFERROR(__xludf.DUMMYFUNCTION("""COMPUTED_VALUE"""),"Sullivan College")</f>
        <v>Sullivan College</v>
      </c>
      <c r="D1546" s="4" t="str">
        <f ca="1">IFERROR(__xludf.DUMMYFUNCTION("""COMPUTED_VALUE"""),"http://www.sullivan.edu/")</f>
        <v>http://www.sullivan.edu/</v>
      </c>
      <c r="G1546" s="2" t="str">
        <f t="shared" ca="1" si="0"/>
        <v>Sullivan College</v>
      </c>
      <c r="H1546" s="3" t="str">
        <f t="shared" ca="1" si="1"/>
        <v>Sullivan College</v>
      </c>
      <c r="I1546" s="3" t="str">
        <f t="shared" ca="1" si="2"/>
        <v>'Sullivan College',</v>
      </c>
    </row>
    <row r="1547" spans="1:9">
      <c r="A1547" s="1" t="s">
        <v>1545</v>
      </c>
      <c r="B1547" s="3" t="str">
        <f ca="1">IFERROR(__xludf.DUMMYFUNCTION("SPLIT(A1547,"","")"),"US")</f>
        <v>US</v>
      </c>
      <c r="C1547" s="3" t="str">
        <f ca="1">IFERROR(__xludf.DUMMYFUNCTION("""COMPUTED_VALUE"""),"Sul Ross State University")</f>
        <v>Sul Ross State University</v>
      </c>
      <c r="D1547" s="4" t="str">
        <f ca="1">IFERROR(__xludf.DUMMYFUNCTION("""COMPUTED_VALUE"""),"http://www.sulross.edu/")</f>
        <v>http://www.sulross.edu/</v>
      </c>
      <c r="G1547" s="2" t="str">
        <f t="shared" ca="1" si="0"/>
        <v>Sul Ross State University</v>
      </c>
      <c r="H1547" s="3" t="str">
        <f t="shared" ca="1" si="1"/>
        <v>Sul Ross State University</v>
      </c>
      <c r="I1547" s="3" t="str">
        <f t="shared" ca="1" si="2"/>
        <v>'Sul Ross State University',</v>
      </c>
    </row>
    <row r="1548" spans="1:9">
      <c r="A1548" s="1" t="s">
        <v>1546</v>
      </c>
      <c r="B1548" s="3" t="str">
        <f ca="1">IFERROR(__xludf.DUMMYFUNCTION("SPLIT(A1548,"","")"),"US")</f>
        <v>US</v>
      </c>
      <c r="C1548" s="3" t="str">
        <f ca="1">IFERROR(__xludf.DUMMYFUNCTION("""COMPUTED_VALUE"""),"Susquehanna University")</f>
        <v>Susquehanna University</v>
      </c>
      <c r="D1548" s="4" t="str">
        <f ca="1">IFERROR(__xludf.DUMMYFUNCTION("""COMPUTED_VALUE"""),"http://www.susqu.edu/")</f>
        <v>http://www.susqu.edu/</v>
      </c>
      <c r="G1548" s="2" t="str">
        <f t="shared" ca="1" si="0"/>
        <v>Susquehanna University</v>
      </c>
      <c r="H1548" s="3" t="str">
        <f t="shared" ca="1" si="1"/>
        <v>Susquehanna University</v>
      </c>
      <c r="I1548" s="3" t="str">
        <f t="shared" ca="1" si="2"/>
        <v>'Susquehanna University',</v>
      </c>
    </row>
    <row r="1549" spans="1:9">
      <c r="A1549" s="1" t="s">
        <v>1547</v>
      </c>
      <c r="B1549" s="3" t="str">
        <f ca="1">IFERROR(__xludf.DUMMYFUNCTION("SPLIT(A1549,"","")"),"US")</f>
        <v>US</v>
      </c>
      <c r="C1549" s="3" t="str">
        <f ca="1">IFERROR(__xludf.DUMMYFUNCTION("""COMPUTED_VALUE"""),"Swarthmore College")</f>
        <v>Swarthmore College</v>
      </c>
      <c r="D1549" s="4" t="str">
        <f ca="1">IFERROR(__xludf.DUMMYFUNCTION("""COMPUTED_VALUE"""),"http://www.swarthmore.edu/")</f>
        <v>http://www.swarthmore.edu/</v>
      </c>
      <c r="G1549" s="2" t="str">
        <f t="shared" ca="1" si="0"/>
        <v>Swarthmore College</v>
      </c>
      <c r="H1549" s="3" t="str">
        <f t="shared" ca="1" si="1"/>
        <v>Swarthmore College</v>
      </c>
      <c r="I1549" s="3" t="str">
        <f t="shared" ca="1" si="2"/>
        <v>'Swarthmore College',</v>
      </c>
    </row>
    <row r="1550" spans="1:9">
      <c r="A1550" s="1" t="s">
        <v>1548</v>
      </c>
      <c r="B1550" s="3" t="str">
        <f ca="1">IFERROR(__xludf.DUMMYFUNCTION("SPLIT(A1550,"","")"),"US")</f>
        <v>US</v>
      </c>
      <c r="C1550" s="3" t="str">
        <f ca="1">IFERROR(__xludf.DUMMYFUNCTION("""COMPUTED_VALUE"""),"Sweet Briar College")</f>
        <v>Sweet Briar College</v>
      </c>
      <c r="D1550" s="4" t="str">
        <f ca="1">IFERROR(__xludf.DUMMYFUNCTION("""COMPUTED_VALUE"""),"http://www.sbc.edu/")</f>
        <v>http://www.sbc.edu/</v>
      </c>
      <c r="G1550" s="2" t="str">
        <f t="shared" ca="1" si="0"/>
        <v>Sweet Briar College</v>
      </c>
      <c r="H1550" s="3" t="str">
        <f t="shared" ca="1" si="1"/>
        <v>Sweet Briar College</v>
      </c>
      <c r="I1550" s="3" t="str">
        <f t="shared" ca="1" si="2"/>
        <v>'Sweet Briar College',</v>
      </c>
    </row>
    <row r="1551" spans="1:9">
      <c r="A1551" s="1" t="s">
        <v>1549</v>
      </c>
      <c r="B1551" s="3" t="str">
        <f ca="1">IFERROR(__xludf.DUMMYFUNCTION("SPLIT(A1551,"","")"),"US")</f>
        <v>US</v>
      </c>
      <c r="C1551" s="3" t="str">
        <f ca="1">IFERROR(__xludf.DUMMYFUNCTION("""COMPUTED_VALUE"""),"Syracuse University")</f>
        <v>Syracuse University</v>
      </c>
      <c r="D1551" s="4" t="str">
        <f ca="1">IFERROR(__xludf.DUMMYFUNCTION("""COMPUTED_VALUE"""),"http://www.syr.edu/")</f>
        <v>http://www.syr.edu/</v>
      </c>
      <c r="G1551" s="2" t="str">
        <f t="shared" ca="1" si="0"/>
        <v>Syracuse University</v>
      </c>
      <c r="H1551" s="3" t="str">
        <f t="shared" ca="1" si="1"/>
        <v>Syracuse University</v>
      </c>
      <c r="I1551" s="3" t="str">
        <f t="shared" ca="1" si="2"/>
        <v>'Syracuse University',</v>
      </c>
    </row>
    <row r="1552" spans="1:9">
      <c r="A1552" s="1" t="s">
        <v>1550</v>
      </c>
      <c r="B1552" s="3" t="str">
        <f ca="1">IFERROR(__xludf.DUMMYFUNCTION("SPLIT(A1552,"","")"),"US")</f>
        <v>US</v>
      </c>
      <c r="C1552" s="3" t="str">
        <f ca="1">IFERROR(__xludf.DUMMYFUNCTION("""COMPUTED_VALUE"""),"Tabor College")</f>
        <v>Tabor College</v>
      </c>
      <c r="D1552" s="4" t="str">
        <f ca="1">IFERROR(__xludf.DUMMYFUNCTION("""COMPUTED_VALUE"""),"http://www.tabor.edu/")</f>
        <v>http://www.tabor.edu/</v>
      </c>
      <c r="G1552" s="2" t="str">
        <f t="shared" ca="1" si="0"/>
        <v>Tabor College</v>
      </c>
      <c r="H1552" s="3" t="str">
        <f t="shared" ca="1" si="1"/>
        <v>Tabor College</v>
      </c>
      <c r="I1552" s="3" t="str">
        <f t="shared" ca="1" si="2"/>
        <v>'Tabor College',</v>
      </c>
    </row>
    <row r="1553" spans="1:9">
      <c r="A1553" s="1" t="s">
        <v>1551</v>
      </c>
      <c r="B1553" s="3" t="str">
        <f ca="1">IFERROR(__xludf.DUMMYFUNCTION("SPLIT(A1553,"","")"),"US")</f>
        <v>US</v>
      </c>
      <c r="C1553" s="3" t="str">
        <f ca="1">IFERROR(__xludf.DUMMYFUNCTION("""COMPUTED_VALUE"""),"Talladega College")</f>
        <v>Talladega College</v>
      </c>
      <c r="D1553" s="4" t="str">
        <f ca="1">IFERROR(__xludf.DUMMYFUNCTION("""COMPUTED_VALUE"""),"http://www.talladega.edu/")</f>
        <v>http://www.talladega.edu/</v>
      </c>
      <c r="G1553" s="2" t="str">
        <f t="shared" ca="1" si="0"/>
        <v>Talladega College</v>
      </c>
      <c r="H1553" s="3" t="str">
        <f t="shared" ca="1" si="1"/>
        <v>Talladega College</v>
      </c>
      <c r="I1553" s="3" t="str">
        <f t="shared" ca="1" si="2"/>
        <v>'Talladega College',</v>
      </c>
    </row>
    <row r="1554" spans="1:9">
      <c r="A1554" s="1" t="s">
        <v>1552</v>
      </c>
      <c r="B1554" s="3" t="str">
        <f ca="1">IFERROR(__xludf.DUMMYFUNCTION("SPLIT(A1554,"","")"),"US")</f>
        <v>US</v>
      </c>
      <c r="C1554" s="3" t="str">
        <f ca="1">IFERROR(__xludf.DUMMYFUNCTION("""COMPUTED_VALUE"""),"Tarleton State University")</f>
        <v>Tarleton State University</v>
      </c>
      <c r="D1554" s="4" t="str">
        <f ca="1">IFERROR(__xludf.DUMMYFUNCTION("""COMPUTED_VALUE"""),"http://www.tarleton.edu/")</f>
        <v>http://www.tarleton.edu/</v>
      </c>
      <c r="G1554" s="2" t="str">
        <f t="shared" ca="1" si="0"/>
        <v>Tarleton State University</v>
      </c>
      <c r="H1554" s="3" t="str">
        <f t="shared" ca="1" si="1"/>
        <v>Tarleton State University</v>
      </c>
      <c r="I1554" s="3" t="str">
        <f t="shared" ca="1" si="2"/>
        <v>'Tarleton State University',</v>
      </c>
    </row>
    <row r="1555" spans="1:9">
      <c r="A1555" s="1" t="s">
        <v>1553</v>
      </c>
      <c r="B1555" s="3" t="str">
        <f ca="1">IFERROR(__xludf.DUMMYFUNCTION("SPLIT(A1555,"","")"),"US")</f>
        <v>US</v>
      </c>
      <c r="C1555" s="3" t="str">
        <f ca="1">IFERROR(__xludf.DUMMYFUNCTION("""COMPUTED_VALUE"""),"Taylor University")</f>
        <v>Taylor University</v>
      </c>
      <c r="D1555" s="4" t="str">
        <f ca="1">IFERROR(__xludf.DUMMYFUNCTION("""COMPUTED_VALUE"""),"http://www.tayloru.edu/")</f>
        <v>http://www.tayloru.edu/</v>
      </c>
      <c r="G1555" s="2" t="str">
        <f t="shared" ca="1" si="0"/>
        <v>Taylor University</v>
      </c>
      <c r="H1555" s="3" t="str">
        <f t="shared" ca="1" si="1"/>
        <v>Taylor University</v>
      </c>
      <c r="I1555" s="3" t="str">
        <f t="shared" ca="1" si="2"/>
        <v>'Taylor University',</v>
      </c>
    </row>
    <row r="1556" spans="1:9">
      <c r="A1556" s="1" t="s">
        <v>1554</v>
      </c>
      <c r="B1556" s="3" t="str">
        <f ca="1">IFERROR(__xludf.DUMMYFUNCTION("SPLIT(A1556,"","")"),"US")</f>
        <v>US</v>
      </c>
      <c r="C1556" s="3" t="str">
        <f ca="1">IFERROR(__xludf.DUMMYFUNCTION("""COMPUTED_VALUE"""),"""Taylor University")</f>
        <v>"Taylor University</v>
      </c>
      <c r="D1556" s="3" t="str">
        <f ca="1">IFERROR(__xludf.DUMMYFUNCTION("""COMPUTED_VALUE""")," Fort Wayne Campus""")</f>
        <v xml:space="preserve"> Fort Wayne Campus"</v>
      </c>
      <c r="E1556" s="4" t="str">
        <f ca="1">IFERROR(__xludf.DUMMYFUNCTION("""COMPUTED_VALUE"""),"http://www.tayloru.edu/fw/")</f>
        <v>http://www.tayloru.edu/fw/</v>
      </c>
      <c r="G1556" s="2" t="str">
        <f t="shared" ca="1" si="0"/>
        <v>"Taylor University</v>
      </c>
      <c r="H1556" s="3" t="str">
        <f t="shared" ca="1" si="1"/>
        <v>Taylor University</v>
      </c>
      <c r="I1556" s="3" t="str">
        <f t="shared" ca="1" si="2"/>
        <v>'Taylor University',</v>
      </c>
    </row>
    <row r="1557" spans="1:9">
      <c r="A1557" s="1" t="s">
        <v>1555</v>
      </c>
      <c r="B1557" s="3" t="str">
        <f ca="1">IFERROR(__xludf.DUMMYFUNCTION("SPLIT(A1557,"","")"),"US")</f>
        <v>US</v>
      </c>
      <c r="C1557" s="3" t="str">
        <f ca="1">IFERROR(__xludf.DUMMYFUNCTION("""COMPUTED_VALUE"""),"""Teachers College")</f>
        <v>"Teachers College</v>
      </c>
      <c r="D1557" s="3" t="str">
        <f ca="1">IFERROR(__xludf.DUMMYFUNCTION("""COMPUTED_VALUE""")," Columbia University""")</f>
        <v xml:space="preserve"> Columbia University"</v>
      </c>
      <c r="E1557" s="4" t="str">
        <f ca="1">IFERROR(__xludf.DUMMYFUNCTION("""COMPUTED_VALUE"""),"http://www.tc.columbia.edu/")</f>
        <v>http://www.tc.columbia.edu/</v>
      </c>
      <c r="G1557" s="2" t="str">
        <f t="shared" ca="1" si="0"/>
        <v>"Teachers College</v>
      </c>
      <c r="H1557" s="3" t="str">
        <f t="shared" ca="1" si="1"/>
        <v>Teachers College</v>
      </c>
      <c r="I1557" s="3" t="str">
        <f t="shared" ca="1" si="2"/>
        <v>'Teachers College',</v>
      </c>
    </row>
    <row r="1558" spans="1:9">
      <c r="A1558" s="1" t="s">
        <v>1556</v>
      </c>
      <c r="B1558" s="3" t="str">
        <f ca="1">IFERROR(__xludf.DUMMYFUNCTION("SPLIT(A1558,"","")"),"US")</f>
        <v>US</v>
      </c>
      <c r="C1558" s="3" t="str">
        <f ca="1">IFERROR(__xludf.DUMMYFUNCTION("""COMPUTED_VALUE"""),"Temple University")</f>
        <v>Temple University</v>
      </c>
      <c r="D1558" s="4" t="str">
        <f ca="1">IFERROR(__xludf.DUMMYFUNCTION("""COMPUTED_VALUE"""),"http://www.temple.edu/")</f>
        <v>http://www.temple.edu/</v>
      </c>
      <c r="G1558" s="2" t="str">
        <f t="shared" ca="1" si="0"/>
        <v>Temple University</v>
      </c>
      <c r="H1558" s="3" t="str">
        <f t="shared" ca="1" si="1"/>
        <v>Temple University</v>
      </c>
      <c r="I1558" s="3" t="str">
        <f t="shared" ca="1" si="2"/>
        <v>'Temple University',</v>
      </c>
    </row>
    <row r="1559" spans="1:9">
      <c r="A1559" s="1" t="s">
        <v>1557</v>
      </c>
      <c r="B1559" s="3" t="str">
        <f ca="1">IFERROR(__xludf.DUMMYFUNCTION("SPLIT(A1559,"","")"),"US")</f>
        <v>US</v>
      </c>
      <c r="C1559" s="3" t="str">
        <f ca="1">IFERROR(__xludf.DUMMYFUNCTION("""COMPUTED_VALUE"""),"Temple University School of Podiatric Medicine")</f>
        <v>Temple University School of Podiatric Medicine</v>
      </c>
      <c r="D1559" s="4" t="str">
        <f ca="1">IFERROR(__xludf.DUMMYFUNCTION("""COMPUTED_VALUE"""),"http://www.pcpm.edu/")</f>
        <v>http://www.pcpm.edu/</v>
      </c>
      <c r="G1559" s="2" t="str">
        <f t="shared" ca="1" si="0"/>
        <v>Temple University School of Podiatric Medicine</v>
      </c>
      <c r="H1559" s="3" t="str">
        <f t="shared" ca="1" si="1"/>
        <v>Temple University School of Podiatric Medicine</v>
      </c>
      <c r="I1559" s="3" t="str">
        <f t="shared" ca="1" si="2"/>
        <v>'Temple University School of Podiatric Medicine',</v>
      </c>
    </row>
    <row r="1560" spans="1:9">
      <c r="A1560" s="1" t="s">
        <v>1558</v>
      </c>
      <c r="B1560" s="3" t="str">
        <f ca="1">IFERROR(__xludf.DUMMYFUNCTION("SPLIT(A1560,"","")"),"US")</f>
        <v>US</v>
      </c>
      <c r="C1560" s="3" t="str">
        <f ca="1">IFERROR(__xludf.DUMMYFUNCTION("""COMPUTED_VALUE"""),"Tennessee State University")</f>
        <v>Tennessee State University</v>
      </c>
      <c r="D1560" s="4" t="str">
        <f ca="1">IFERROR(__xludf.DUMMYFUNCTION("""COMPUTED_VALUE"""),"http://www.tnstate.edu/")</f>
        <v>http://www.tnstate.edu/</v>
      </c>
      <c r="G1560" s="2" t="str">
        <f t="shared" ca="1" si="0"/>
        <v>Tennessee State University</v>
      </c>
      <c r="H1560" s="3" t="str">
        <f t="shared" ca="1" si="1"/>
        <v>Tennessee State University</v>
      </c>
      <c r="I1560" s="3" t="str">
        <f t="shared" ca="1" si="2"/>
        <v>'Tennessee State University',</v>
      </c>
    </row>
    <row r="1561" spans="1:9">
      <c r="A1561" s="1" t="s">
        <v>1559</v>
      </c>
      <c r="B1561" s="3" t="str">
        <f ca="1">IFERROR(__xludf.DUMMYFUNCTION("SPLIT(A1561,"","")"),"US")</f>
        <v>US</v>
      </c>
      <c r="C1561" s="3" t="str">
        <f ca="1">IFERROR(__xludf.DUMMYFUNCTION("""COMPUTED_VALUE"""),"Tennessee Technological University")</f>
        <v>Tennessee Technological University</v>
      </c>
      <c r="D1561" s="4" t="str">
        <f ca="1">IFERROR(__xludf.DUMMYFUNCTION("""COMPUTED_VALUE"""),"http://www.tntech.edu/")</f>
        <v>http://www.tntech.edu/</v>
      </c>
      <c r="G1561" s="2" t="str">
        <f t="shared" ca="1" si="0"/>
        <v>Tennessee Technological University</v>
      </c>
      <c r="H1561" s="3" t="str">
        <f t="shared" ca="1" si="1"/>
        <v>Tennessee Technological University</v>
      </c>
      <c r="I1561" s="3" t="str">
        <f t="shared" ca="1" si="2"/>
        <v>'Tennessee Technological University',</v>
      </c>
    </row>
    <row r="1562" spans="1:9">
      <c r="A1562" s="1" t="s">
        <v>1560</v>
      </c>
      <c r="B1562" s="3" t="str">
        <f ca="1">IFERROR(__xludf.DUMMYFUNCTION("SPLIT(A1562,"","")"),"US")</f>
        <v>US</v>
      </c>
      <c r="C1562" s="3" t="str">
        <f ca="1">IFERROR(__xludf.DUMMYFUNCTION("""COMPUTED_VALUE"""),"Tennessee Temple University")</f>
        <v>Tennessee Temple University</v>
      </c>
      <c r="D1562" s="4" t="str">
        <f ca="1">IFERROR(__xludf.DUMMYFUNCTION("""COMPUTED_VALUE"""),"http://www.tntemple.edu/")</f>
        <v>http://www.tntemple.edu/</v>
      </c>
      <c r="G1562" s="2" t="str">
        <f t="shared" ca="1" si="0"/>
        <v>Tennessee Temple University</v>
      </c>
      <c r="H1562" s="3" t="str">
        <f t="shared" ca="1" si="1"/>
        <v>Tennessee Temple University</v>
      </c>
      <c r="I1562" s="3" t="str">
        <f t="shared" ca="1" si="2"/>
        <v>'Tennessee Temple University',</v>
      </c>
    </row>
    <row r="1563" spans="1:9">
      <c r="A1563" s="1" t="s">
        <v>1561</v>
      </c>
      <c r="B1563" s="3" t="str">
        <f ca="1">IFERROR(__xludf.DUMMYFUNCTION("SPLIT(A1563,"","")"),"US")</f>
        <v>US</v>
      </c>
      <c r="C1563" s="3" t="str">
        <f ca="1">IFERROR(__xludf.DUMMYFUNCTION("""COMPUTED_VALUE"""),"Tennessee Wesleyan College")</f>
        <v>Tennessee Wesleyan College</v>
      </c>
      <c r="D1563" s="4" t="str">
        <f ca="1">IFERROR(__xludf.DUMMYFUNCTION("""COMPUTED_VALUE"""),"http://www.twcnet.edu/")</f>
        <v>http://www.twcnet.edu/</v>
      </c>
      <c r="G1563" s="2" t="str">
        <f t="shared" ca="1" si="0"/>
        <v>Tennessee Wesleyan College</v>
      </c>
      <c r="H1563" s="3" t="str">
        <f t="shared" ca="1" si="1"/>
        <v>Tennessee Wesleyan College</v>
      </c>
      <c r="I1563" s="3" t="str">
        <f t="shared" ca="1" si="2"/>
        <v>'Tennessee Wesleyan College',</v>
      </c>
    </row>
    <row r="1564" spans="1:9">
      <c r="A1564" s="1" t="s">
        <v>1562</v>
      </c>
      <c r="B1564" s="3" t="str">
        <f ca="1">IFERROR(__xludf.DUMMYFUNCTION("SPLIT(A1564,"","")"),"US")</f>
        <v>US</v>
      </c>
      <c r="C1564" s="3" t="str">
        <f ca="1">IFERROR(__xludf.DUMMYFUNCTION("""COMPUTED_VALUE"""),"Texas A&amp;M International University")</f>
        <v>Texas A&amp;M International University</v>
      </c>
      <c r="D1564" s="4" t="str">
        <f ca="1">IFERROR(__xludf.DUMMYFUNCTION("""COMPUTED_VALUE"""),"http://www.tamiu.edu/")</f>
        <v>http://www.tamiu.edu/</v>
      </c>
      <c r="G1564" s="2" t="str">
        <f t="shared" ca="1" si="0"/>
        <v>Texas A&amp;M International University</v>
      </c>
      <c r="H1564" s="3" t="str">
        <f t="shared" ca="1" si="1"/>
        <v>Texas A&amp;M International University</v>
      </c>
      <c r="I1564" s="3" t="str">
        <f t="shared" ca="1" si="2"/>
        <v>'Texas A&amp;M International University',</v>
      </c>
    </row>
    <row r="1565" spans="1:9">
      <c r="A1565" s="1" t="s">
        <v>1563</v>
      </c>
      <c r="B1565" s="3" t="str">
        <f ca="1">IFERROR(__xludf.DUMMYFUNCTION("SPLIT(A1565,"","")"),"US")</f>
        <v>US</v>
      </c>
      <c r="C1565" s="3" t="str">
        <f ca="1">IFERROR(__xludf.DUMMYFUNCTION("""COMPUTED_VALUE"""),"Texas A&amp;M University")</f>
        <v>Texas A&amp;M University</v>
      </c>
      <c r="D1565" s="4" t="str">
        <f ca="1">IFERROR(__xludf.DUMMYFUNCTION("""COMPUTED_VALUE"""),"http://www.tamu.edu/")</f>
        <v>http://www.tamu.edu/</v>
      </c>
      <c r="G1565" s="2" t="str">
        <f t="shared" ca="1" si="0"/>
        <v>Texas A&amp;M University</v>
      </c>
      <c r="H1565" s="3" t="str">
        <f t="shared" ca="1" si="1"/>
        <v>Texas A&amp;M University</v>
      </c>
      <c r="I1565" s="3" t="str">
        <f t="shared" ca="1" si="2"/>
        <v>'Texas A&amp;M University',</v>
      </c>
    </row>
    <row r="1566" spans="1:9">
      <c r="A1566" s="1" t="s">
        <v>1564</v>
      </c>
      <c r="B1566" s="3" t="str">
        <f ca="1">IFERROR(__xludf.DUMMYFUNCTION("SPLIT(A1566,"","")"),"US")</f>
        <v>US</v>
      </c>
      <c r="C1566" s="3" t="str">
        <f ca="1">IFERROR(__xludf.DUMMYFUNCTION("""COMPUTED_VALUE"""),"Texas A&amp;M University - Commerce")</f>
        <v>Texas A&amp;M University - Commerce</v>
      </c>
      <c r="D1566" s="4" t="str">
        <f ca="1">IFERROR(__xludf.DUMMYFUNCTION("""COMPUTED_VALUE"""),"http://www.tamu-commerce.edu/")</f>
        <v>http://www.tamu-commerce.edu/</v>
      </c>
      <c r="G1566" s="2" t="str">
        <f t="shared" ca="1" si="0"/>
        <v>Texas A&amp;M University - Commerce</v>
      </c>
      <c r="H1566" s="3" t="str">
        <f t="shared" ca="1" si="1"/>
        <v>Texas A&amp;M University - Commerce</v>
      </c>
      <c r="I1566" s="3" t="str">
        <f t="shared" ca="1" si="2"/>
        <v>'Texas A&amp;M University - Commerce',</v>
      </c>
    </row>
    <row r="1567" spans="1:9">
      <c r="A1567" s="1" t="s">
        <v>1565</v>
      </c>
      <c r="B1567" s="3" t="str">
        <f ca="1">IFERROR(__xludf.DUMMYFUNCTION("SPLIT(A1567,"","")"),"US")</f>
        <v>US</v>
      </c>
      <c r="C1567" s="3" t="str">
        <f ca="1">IFERROR(__xludf.DUMMYFUNCTION("""COMPUTED_VALUE"""),"Texas A&amp;M University - Corpus Christi")</f>
        <v>Texas A&amp;M University - Corpus Christi</v>
      </c>
      <c r="D1567" s="4" t="str">
        <f ca="1">IFERROR(__xludf.DUMMYFUNCTION("""COMPUTED_VALUE"""),"http://www.tamucc.edu/")</f>
        <v>http://www.tamucc.edu/</v>
      </c>
      <c r="G1567" s="2" t="str">
        <f t="shared" ca="1" si="0"/>
        <v>Texas A&amp;M University - Corpus Christi</v>
      </c>
      <c r="H1567" s="3" t="str">
        <f t="shared" ca="1" si="1"/>
        <v>Texas A&amp;M University - Corpus Christi</v>
      </c>
      <c r="I1567" s="3" t="str">
        <f t="shared" ca="1" si="2"/>
        <v>'Texas A&amp;M University - Corpus Christi',</v>
      </c>
    </row>
    <row r="1568" spans="1:9">
      <c r="A1568" s="1" t="s">
        <v>1566</v>
      </c>
      <c r="B1568" s="3" t="str">
        <f ca="1">IFERROR(__xludf.DUMMYFUNCTION("SPLIT(A1568,"","")"),"US")</f>
        <v>US</v>
      </c>
      <c r="C1568" s="3" t="str">
        <f ca="1">IFERROR(__xludf.DUMMYFUNCTION("""COMPUTED_VALUE"""),"Texas A&amp;M University - Galveston")</f>
        <v>Texas A&amp;M University - Galveston</v>
      </c>
      <c r="D1568" s="4" t="str">
        <f ca="1">IFERROR(__xludf.DUMMYFUNCTION("""COMPUTED_VALUE"""),"http://www.tamug.tamu.edu/")</f>
        <v>http://www.tamug.tamu.edu/</v>
      </c>
      <c r="G1568" s="2" t="str">
        <f t="shared" ca="1" si="0"/>
        <v>Texas A&amp;M University - Galveston</v>
      </c>
      <c r="H1568" s="3" t="str">
        <f t="shared" ca="1" si="1"/>
        <v>Texas A&amp;M University - Galveston</v>
      </c>
      <c r="I1568" s="3" t="str">
        <f t="shared" ca="1" si="2"/>
        <v>'Texas A&amp;M University - Galveston',</v>
      </c>
    </row>
    <row r="1569" spans="1:9">
      <c r="A1569" s="1" t="s">
        <v>1567</v>
      </c>
      <c r="B1569" s="3" t="str">
        <f ca="1">IFERROR(__xludf.DUMMYFUNCTION("SPLIT(A1569,"","")"),"US")</f>
        <v>US</v>
      </c>
      <c r="C1569" s="3" t="str">
        <f ca="1">IFERROR(__xludf.DUMMYFUNCTION("""COMPUTED_VALUE"""),"Texas A&amp;M University - Kingsville")</f>
        <v>Texas A&amp;M University - Kingsville</v>
      </c>
      <c r="D1569" s="4" t="str">
        <f ca="1">IFERROR(__xludf.DUMMYFUNCTION("""COMPUTED_VALUE"""),"http://www.tamuk.edu/")</f>
        <v>http://www.tamuk.edu/</v>
      </c>
      <c r="G1569" s="2" t="str">
        <f t="shared" ca="1" si="0"/>
        <v>Texas A&amp;M University - Kingsville</v>
      </c>
      <c r="H1569" s="3" t="str">
        <f t="shared" ca="1" si="1"/>
        <v>Texas A&amp;M University - Kingsville</v>
      </c>
      <c r="I1569" s="3" t="str">
        <f t="shared" ca="1" si="2"/>
        <v>'Texas A&amp;M University - Kingsville',</v>
      </c>
    </row>
    <row r="1570" spans="1:9">
      <c r="A1570" s="1" t="s">
        <v>1568</v>
      </c>
      <c r="B1570" s="3" t="str">
        <f ca="1">IFERROR(__xludf.DUMMYFUNCTION("SPLIT(A1570,"","")"),"US")</f>
        <v>US</v>
      </c>
      <c r="C1570" s="3" t="str">
        <f ca="1">IFERROR(__xludf.DUMMYFUNCTION("""COMPUTED_VALUE"""),"Texas A&amp;M University - Texarkana")</f>
        <v>Texas A&amp;M University - Texarkana</v>
      </c>
      <c r="D1570" s="4" t="str">
        <f ca="1">IFERROR(__xludf.DUMMYFUNCTION("""COMPUTED_VALUE"""),"http://www.tamut.edu/")</f>
        <v>http://www.tamut.edu/</v>
      </c>
      <c r="G1570" s="2" t="str">
        <f t="shared" ca="1" si="0"/>
        <v>Texas A&amp;M University - Texarkana</v>
      </c>
      <c r="H1570" s="3" t="str">
        <f t="shared" ca="1" si="1"/>
        <v>Texas A&amp;M University - Texarkana</v>
      </c>
      <c r="I1570" s="3" t="str">
        <f t="shared" ca="1" si="2"/>
        <v>'Texas A&amp;M University - Texarkana',</v>
      </c>
    </row>
    <row r="1571" spans="1:9">
      <c r="A1571" s="1" t="s">
        <v>1569</v>
      </c>
      <c r="B1571" s="3" t="str">
        <f ca="1">IFERROR(__xludf.DUMMYFUNCTION("SPLIT(A1571,"","")"),"US")</f>
        <v>US</v>
      </c>
      <c r="C1571" s="3" t="str">
        <f ca="1">IFERROR(__xludf.DUMMYFUNCTION("""COMPUTED_VALUE"""),"Texas Chiropractic College")</f>
        <v>Texas Chiropractic College</v>
      </c>
      <c r="D1571" s="4" t="str">
        <f ca="1">IFERROR(__xludf.DUMMYFUNCTION("""COMPUTED_VALUE"""),"http://www.txchiro.edu/")</f>
        <v>http://www.txchiro.edu/</v>
      </c>
      <c r="G1571" s="2" t="str">
        <f t="shared" ca="1" si="0"/>
        <v>Texas Chiropractic College</v>
      </c>
      <c r="H1571" s="3" t="str">
        <f t="shared" ca="1" si="1"/>
        <v>Texas Chiropractic College</v>
      </c>
      <c r="I1571" s="3" t="str">
        <f t="shared" ca="1" si="2"/>
        <v>'Texas Chiropractic College',</v>
      </c>
    </row>
    <row r="1572" spans="1:9">
      <c r="A1572" s="1" t="s">
        <v>1570</v>
      </c>
      <c r="B1572" s="3" t="str">
        <f ca="1">IFERROR(__xludf.DUMMYFUNCTION("SPLIT(A1572,"","")"),"US")</f>
        <v>US</v>
      </c>
      <c r="C1572" s="3" t="str">
        <f ca="1">IFERROR(__xludf.DUMMYFUNCTION("""COMPUTED_VALUE"""),"Texas Christian University")</f>
        <v>Texas Christian University</v>
      </c>
      <c r="D1572" s="4" t="str">
        <f ca="1">IFERROR(__xludf.DUMMYFUNCTION("""COMPUTED_VALUE"""),"http://www.tcu.edu/")</f>
        <v>http://www.tcu.edu/</v>
      </c>
      <c r="G1572" s="2" t="str">
        <f t="shared" ca="1" si="0"/>
        <v>Texas Christian University</v>
      </c>
      <c r="H1572" s="3" t="str">
        <f t="shared" ca="1" si="1"/>
        <v>Texas Christian University</v>
      </c>
      <c r="I1572" s="3" t="str">
        <f t="shared" ca="1" si="2"/>
        <v>'Texas Christian University',</v>
      </c>
    </row>
    <row r="1573" spans="1:9">
      <c r="A1573" s="1" t="s">
        <v>1571</v>
      </c>
      <c r="B1573" s="3" t="str">
        <f ca="1">IFERROR(__xludf.DUMMYFUNCTION("SPLIT(A1573,"","")"),"US")</f>
        <v>US</v>
      </c>
      <c r="C1573" s="3" t="str">
        <f ca="1">IFERROR(__xludf.DUMMYFUNCTION("""COMPUTED_VALUE"""),"Texas College")</f>
        <v>Texas College</v>
      </c>
      <c r="D1573" s="4" t="str">
        <f ca="1">IFERROR(__xludf.DUMMYFUNCTION("""COMPUTED_VALUE"""),"http://www.texascollege.edu/")</f>
        <v>http://www.texascollege.edu/</v>
      </c>
      <c r="G1573" s="2" t="str">
        <f t="shared" ca="1" si="0"/>
        <v>Texas College</v>
      </c>
      <c r="H1573" s="3" t="str">
        <f t="shared" ca="1" si="1"/>
        <v>Texas College</v>
      </c>
      <c r="I1573" s="3" t="str">
        <f t="shared" ca="1" si="2"/>
        <v>'Texas College',</v>
      </c>
    </row>
    <row r="1574" spans="1:9">
      <c r="A1574" s="1" t="s">
        <v>1572</v>
      </c>
      <c r="B1574" s="3" t="str">
        <f ca="1">IFERROR(__xludf.DUMMYFUNCTION("SPLIT(A1574,"","")"),"US")</f>
        <v>US</v>
      </c>
      <c r="C1574" s="3" t="str">
        <f ca="1">IFERROR(__xludf.DUMMYFUNCTION("""COMPUTED_VALUE"""),"Texas College of Osteopathic Medicine")</f>
        <v>Texas College of Osteopathic Medicine</v>
      </c>
      <c r="D1574" s="4" t="str">
        <f ca="1">IFERROR(__xludf.DUMMYFUNCTION("""COMPUTED_VALUE"""),"http://www.hsc.unt.edu/education/tcom/")</f>
        <v>http://www.hsc.unt.edu/education/tcom/</v>
      </c>
      <c r="G1574" s="2" t="str">
        <f t="shared" ca="1" si="0"/>
        <v>Texas College of Osteopathic Medicine</v>
      </c>
      <c r="H1574" s="3" t="str">
        <f t="shared" ca="1" si="1"/>
        <v>Texas College of Osteopathic Medicine</v>
      </c>
      <c r="I1574" s="3" t="str">
        <f t="shared" ca="1" si="2"/>
        <v>'Texas College of Osteopathic Medicine',</v>
      </c>
    </row>
    <row r="1575" spans="1:9">
      <c r="A1575" s="1" t="s">
        <v>1573</v>
      </c>
      <c r="B1575" s="3" t="str">
        <f ca="1">IFERROR(__xludf.DUMMYFUNCTION("SPLIT(A1575,"","")"),"US")</f>
        <v>US</v>
      </c>
      <c r="C1575" s="3" t="str">
        <f ca="1">IFERROR(__xludf.DUMMYFUNCTION("""COMPUTED_VALUE"""),"Texas Lutheran University")</f>
        <v>Texas Lutheran University</v>
      </c>
      <c r="D1575" s="4" t="str">
        <f ca="1">IFERROR(__xludf.DUMMYFUNCTION("""COMPUTED_VALUE"""),"http://www.txlutheran.edu/")</f>
        <v>http://www.txlutheran.edu/</v>
      </c>
      <c r="G1575" s="2" t="str">
        <f t="shared" ca="1" si="0"/>
        <v>Texas Lutheran University</v>
      </c>
      <c r="H1575" s="3" t="str">
        <f t="shared" ca="1" si="1"/>
        <v>Texas Lutheran University</v>
      </c>
      <c r="I1575" s="3" t="str">
        <f t="shared" ca="1" si="2"/>
        <v>'Texas Lutheran University',</v>
      </c>
    </row>
    <row r="1576" spans="1:9">
      <c r="A1576" s="1" t="s">
        <v>1574</v>
      </c>
      <c r="B1576" s="3" t="str">
        <f ca="1">IFERROR(__xludf.DUMMYFUNCTION("SPLIT(A1576,"","")"),"US")</f>
        <v>US</v>
      </c>
      <c r="C1576" s="3" t="str">
        <f ca="1">IFERROR(__xludf.DUMMYFUNCTION("""COMPUTED_VALUE"""),"Texas Southern University")</f>
        <v>Texas Southern University</v>
      </c>
      <c r="D1576" s="4" t="str">
        <f ca="1">IFERROR(__xludf.DUMMYFUNCTION("""COMPUTED_VALUE"""),"http://www.tsu.edu/")</f>
        <v>http://www.tsu.edu/</v>
      </c>
      <c r="G1576" s="2" t="str">
        <f t="shared" ca="1" si="0"/>
        <v>Texas Southern University</v>
      </c>
      <c r="H1576" s="3" t="str">
        <f t="shared" ca="1" si="1"/>
        <v>Texas Southern University</v>
      </c>
      <c r="I1576" s="3" t="str">
        <f t="shared" ca="1" si="2"/>
        <v>'Texas Southern University',</v>
      </c>
    </row>
    <row r="1577" spans="1:9">
      <c r="A1577" s="1" t="s">
        <v>1575</v>
      </c>
      <c r="B1577" s="3" t="str">
        <f ca="1">IFERROR(__xludf.DUMMYFUNCTION("SPLIT(A1577,"","")"),"US")</f>
        <v>US</v>
      </c>
      <c r="C1577" s="3" t="str">
        <f ca="1">IFERROR(__xludf.DUMMYFUNCTION("""COMPUTED_VALUE"""),"Texas Tech University")</f>
        <v>Texas Tech University</v>
      </c>
      <c r="D1577" s="4" t="str">
        <f ca="1">IFERROR(__xludf.DUMMYFUNCTION("""COMPUTED_VALUE"""),"http://www.ttu.edu/")</f>
        <v>http://www.ttu.edu/</v>
      </c>
      <c r="G1577" s="2" t="str">
        <f t="shared" ca="1" si="0"/>
        <v>Texas Tech University</v>
      </c>
      <c r="H1577" s="3" t="str">
        <f t="shared" ca="1" si="1"/>
        <v>Texas Tech University</v>
      </c>
      <c r="I1577" s="3" t="str">
        <f t="shared" ca="1" si="2"/>
        <v>'Texas Tech University',</v>
      </c>
    </row>
    <row r="1578" spans="1:9">
      <c r="A1578" s="1" t="s">
        <v>1576</v>
      </c>
      <c r="B1578" s="3" t="str">
        <f ca="1">IFERROR(__xludf.DUMMYFUNCTION("SPLIT(A1578,"","")"),"US")</f>
        <v>US</v>
      </c>
      <c r="C1578" s="3" t="str">
        <f ca="1">IFERROR(__xludf.DUMMYFUNCTION("""COMPUTED_VALUE"""),"Texas Tech University Health Science Center")</f>
        <v>Texas Tech University Health Science Center</v>
      </c>
      <c r="D1578" s="4" t="str">
        <f ca="1">IFERROR(__xludf.DUMMYFUNCTION("""COMPUTED_VALUE"""),"http://www.ttuhsc.edu/")</f>
        <v>http://www.ttuhsc.edu/</v>
      </c>
      <c r="G1578" s="2" t="str">
        <f t="shared" ca="1" si="0"/>
        <v>Texas Tech University Health Science Center</v>
      </c>
      <c r="H1578" s="3" t="str">
        <f t="shared" ca="1" si="1"/>
        <v>Texas Tech University Health Science Center</v>
      </c>
      <c r="I1578" s="3" t="str">
        <f t="shared" ca="1" si="2"/>
        <v>'Texas Tech University Health Science Center',</v>
      </c>
    </row>
    <row r="1579" spans="1:9">
      <c r="A1579" s="1" t="s">
        <v>1577</v>
      </c>
      <c r="B1579" s="3" t="str">
        <f ca="1">IFERROR(__xludf.DUMMYFUNCTION("SPLIT(A1579,"","")"),"US")</f>
        <v>US</v>
      </c>
      <c r="C1579" s="3" t="str">
        <f ca="1">IFERROR(__xludf.DUMMYFUNCTION("""COMPUTED_VALUE"""),"Texas Wesleyan University")</f>
        <v>Texas Wesleyan University</v>
      </c>
      <c r="D1579" s="4" t="str">
        <f ca="1">IFERROR(__xludf.DUMMYFUNCTION("""COMPUTED_VALUE"""),"http://www.txwesleyan.edu/")</f>
        <v>http://www.txwesleyan.edu/</v>
      </c>
      <c r="G1579" s="2" t="str">
        <f t="shared" ca="1" si="0"/>
        <v>Texas Wesleyan University</v>
      </c>
      <c r="H1579" s="3" t="str">
        <f t="shared" ca="1" si="1"/>
        <v>Texas Wesleyan University</v>
      </c>
      <c r="I1579" s="3" t="str">
        <f t="shared" ca="1" si="2"/>
        <v>'Texas Wesleyan University',</v>
      </c>
    </row>
    <row r="1580" spans="1:9">
      <c r="A1580" s="1" t="s">
        <v>1578</v>
      </c>
      <c r="B1580" s="3" t="str">
        <f ca="1">IFERROR(__xludf.DUMMYFUNCTION("SPLIT(A1580,"","")"),"US")</f>
        <v>US</v>
      </c>
      <c r="C1580" s="3" t="str">
        <f ca="1">IFERROR(__xludf.DUMMYFUNCTION("""COMPUTED_VALUE"""),"Texas Woman's University")</f>
        <v>Texas Woman's University</v>
      </c>
      <c r="D1580" s="4" t="str">
        <f ca="1">IFERROR(__xludf.DUMMYFUNCTION("""COMPUTED_VALUE"""),"http://www.twu.edu/")</f>
        <v>http://www.twu.edu/</v>
      </c>
      <c r="G1580" s="2" t="str">
        <f t="shared" ca="1" si="0"/>
        <v>Texas Woman's University</v>
      </c>
      <c r="H1580" s="3" t="str">
        <f t="shared" ca="1" si="1"/>
        <v>Texas Woman's University</v>
      </c>
      <c r="I1580" s="3" t="str">
        <f t="shared" ca="1" si="2"/>
        <v>'Texas Woman's University',</v>
      </c>
    </row>
    <row r="1581" spans="1:9">
      <c r="A1581" s="1" t="s">
        <v>1579</v>
      </c>
      <c r="B1581" s="3" t="str">
        <f ca="1">IFERROR(__xludf.DUMMYFUNCTION("SPLIT(A1581,"","")"),"US")</f>
        <v>US</v>
      </c>
      <c r="C1581" s="3" t="str">
        <f ca="1">IFERROR(__xludf.DUMMYFUNCTION("""COMPUTED_VALUE"""),"The American College")</f>
        <v>The American College</v>
      </c>
      <c r="D1581" s="4" t="str">
        <f ca="1">IFERROR(__xludf.DUMMYFUNCTION("""COMPUTED_VALUE"""),"http://www.amercoll.edu/")</f>
        <v>http://www.amercoll.edu/</v>
      </c>
      <c r="G1581" s="2" t="str">
        <f t="shared" ca="1" si="0"/>
        <v>The American College</v>
      </c>
      <c r="H1581" s="3" t="str">
        <f t="shared" ca="1" si="1"/>
        <v>The American College</v>
      </c>
      <c r="I1581" s="3" t="str">
        <f t="shared" ca="1" si="2"/>
        <v>'The American College',</v>
      </c>
    </row>
    <row r="1582" spans="1:9">
      <c r="A1582" s="1" t="s">
        <v>1580</v>
      </c>
      <c r="B1582" s="3" t="str">
        <f ca="1">IFERROR(__xludf.DUMMYFUNCTION("SPLIT(A1582,"","")"),"US")</f>
        <v>US</v>
      </c>
      <c r="C1582" s="3" t="str">
        <f ca="1">IFERROR(__xludf.DUMMYFUNCTION("""COMPUTED_VALUE"""),"The Art Institute of Boston")</f>
        <v>The Art Institute of Boston</v>
      </c>
      <c r="D1582" s="4" t="str">
        <f ca="1">IFERROR(__xludf.DUMMYFUNCTION("""COMPUTED_VALUE"""),"http://www.aiboston.edu/")</f>
        <v>http://www.aiboston.edu/</v>
      </c>
      <c r="G1582" s="2" t="str">
        <f t="shared" ca="1" si="0"/>
        <v>The Art Institute of Boston</v>
      </c>
      <c r="H1582" s="3" t="str">
        <f t="shared" ca="1" si="1"/>
        <v>The Art Institute of Boston</v>
      </c>
      <c r="I1582" s="3" t="str">
        <f t="shared" ca="1" si="2"/>
        <v>'The Art Institute of Boston',</v>
      </c>
    </row>
    <row r="1583" spans="1:9">
      <c r="A1583" s="1" t="s">
        <v>1581</v>
      </c>
      <c r="B1583" s="3" t="str">
        <f ca="1">IFERROR(__xludf.DUMMYFUNCTION("SPLIT(A1583,"","")"),"US")</f>
        <v>US</v>
      </c>
      <c r="C1583" s="3" t="str">
        <f ca="1">IFERROR(__xludf.DUMMYFUNCTION("""COMPUTED_VALUE"""),"The Art Institutes International Portland")</f>
        <v>The Art Institutes International Portland</v>
      </c>
      <c r="D1583" s="4" t="str">
        <f ca="1">IFERROR(__xludf.DUMMYFUNCTION("""COMPUTED_VALUE"""),"http://www.aipd.aii.edu/")</f>
        <v>http://www.aipd.aii.edu/</v>
      </c>
      <c r="G1583" s="2" t="str">
        <f t="shared" ca="1" si="0"/>
        <v>The Art Institutes International Portland</v>
      </c>
      <c r="H1583" s="3" t="str">
        <f t="shared" ca="1" si="1"/>
        <v>The Art Institutes International Portland</v>
      </c>
      <c r="I1583" s="3" t="str">
        <f t="shared" ca="1" si="2"/>
        <v>'The Art Institutes International Portland',</v>
      </c>
    </row>
    <row r="1584" spans="1:9">
      <c r="A1584" s="1" t="s">
        <v>1582</v>
      </c>
      <c r="B1584" s="3" t="str">
        <f ca="1">IFERROR(__xludf.DUMMYFUNCTION("SPLIT(A1584,"","")"),"US")</f>
        <v>US</v>
      </c>
      <c r="C1584" s="3" t="str">
        <f ca="1">IFERROR(__xludf.DUMMYFUNCTION("""COMPUTED_VALUE"""),"The Art Institutes International San Francisco")</f>
        <v>The Art Institutes International San Francisco</v>
      </c>
      <c r="D1584" s="4" t="str">
        <f ca="1">IFERROR(__xludf.DUMMYFUNCTION("""COMPUTED_VALUE"""),"http://www.aisf.aii.edu/")</f>
        <v>http://www.aisf.aii.edu/</v>
      </c>
      <c r="G1584" s="2" t="str">
        <f t="shared" ca="1" si="0"/>
        <v>The Art Institutes International San Francisco</v>
      </c>
      <c r="H1584" s="3" t="str">
        <f t="shared" ca="1" si="1"/>
        <v>The Art Institutes International San Francisco</v>
      </c>
      <c r="I1584" s="3" t="str">
        <f t="shared" ca="1" si="2"/>
        <v>'The Art Institutes International San Francisco',</v>
      </c>
    </row>
    <row r="1585" spans="1:9">
      <c r="A1585" s="1" t="s">
        <v>1583</v>
      </c>
      <c r="B1585" s="3" t="str">
        <f ca="1">IFERROR(__xludf.DUMMYFUNCTION("SPLIT(A1585,"","")"),"US")</f>
        <v>US</v>
      </c>
      <c r="C1585" s="3" t="str">
        <f ca="1">IFERROR(__xludf.DUMMYFUNCTION("""COMPUTED_VALUE"""),"The Boston Conservatory")</f>
        <v>The Boston Conservatory</v>
      </c>
      <c r="D1585" s="4" t="str">
        <f ca="1">IFERROR(__xludf.DUMMYFUNCTION("""COMPUTED_VALUE"""),"http://www.bostonconservatory.edu/")</f>
        <v>http://www.bostonconservatory.edu/</v>
      </c>
      <c r="G1585" s="2" t="str">
        <f t="shared" ca="1" si="0"/>
        <v>The Boston Conservatory</v>
      </c>
      <c r="H1585" s="3" t="str">
        <f t="shared" ca="1" si="1"/>
        <v>The Boston Conservatory</v>
      </c>
      <c r="I1585" s="3" t="str">
        <f t="shared" ca="1" si="2"/>
        <v>'The Boston Conservatory',</v>
      </c>
    </row>
    <row r="1586" spans="1:9">
      <c r="A1586" s="1" t="s">
        <v>1584</v>
      </c>
      <c r="B1586" s="3" t="str">
        <f ca="1">IFERROR(__xludf.DUMMYFUNCTION("SPLIT(A1586,"","")"),"US")</f>
        <v>US</v>
      </c>
      <c r="C1586" s="3" t="str">
        <f ca="1">IFERROR(__xludf.DUMMYFUNCTION("""COMPUTED_VALUE"""),"The Catholic University of America")</f>
        <v>The Catholic University of America</v>
      </c>
      <c r="D1586" s="4" t="str">
        <f ca="1">IFERROR(__xludf.DUMMYFUNCTION("""COMPUTED_VALUE"""),"http://www.cua.edu/")</f>
        <v>http://www.cua.edu/</v>
      </c>
      <c r="G1586" s="2" t="str">
        <f t="shared" ca="1" si="0"/>
        <v>The Catholic University of America</v>
      </c>
      <c r="H1586" s="3" t="str">
        <f t="shared" ca="1" si="1"/>
        <v>The Catholic University of America</v>
      </c>
      <c r="I1586" s="3" t="str">
        <f t="shared" ca="1" si="2"/>
        <v>'The Catholic University of America',</v>
      </c>
    </row>
    <row r="1587" spans="1:9">
      <c r="A1587" s="1" t="s">
        <v>1585</v>
      </c>
      <c r="B1587" s="3" t="str">
        <f ca="1">IFERROR(__xludf.DUMMYFUNCTION("SPLIT(A1587,"","")"),"US")</f>
        <v>US</v>
      </c>
      <c r="C1587" s="3" t="str">
        <f ca="1">IFERROR(__xludf.DUMMYFUNCTION("""COMPUTED_VALUE"""),"The Chicago School of Professional Psychology")</f>
        <v>The Chicago School of Professional Psychology</v>
      </c>
      <c r="D1587" s="4" t="str">
        <f ca="1">IFERROR(__xludf.DUMMYFUNCTION("""COMPUTED_VALUE"""),"http://www.thechicagoschool.edu/")</f>
        <v>http://www.thechicagoschool.edu/</v>
      </c>
      <c r="G1587" s="2" t="str">
        <f t="shared" ca="1" si="0"/>
        <v>The Chicago School of Professional Psychology</v>
      </c>
      <c r="H1587" s="3" t="str">
        <f t="shared" ca="1" si="1"/>
        <v>The Chicago School of Professional Psychology</v>
      </c>
      <c r="I1587" s="3" t="str">
        <f t="shared" ca="1" si="2"/>
        <v>'The Chicago School of Professional Psychology',</v>
      </c>
    </row>
    <row r="1588" spans="1:9">
      <c r="A1588" s="1" t="s">
        <v>1586</v>
      </c>
      <c r="B1588" s="3" t="str">
        <f ca="1">IFERROR(__xludf.DUMMYFUNCTION("SPLIT(A1588,"","")"),"US")</f>
        <v>US</v>
      </c>
      <c r="C1588" s="3" t="str">
        <f ca="1">IFERROR(__xludf.DUMMYFUNCTION("""COMPUTED_VALUE"""),"The College of Insurance")</f>
        <v>The College of Insurance</v>
      </c>
      <c r="D1588" s="4" t="str">
        <f ca="1">IFERROR(__xludf.DUMMYFUNCTION("""COMPUTED_VALUE"""),"http://www.tci.edu/")</f>
        <v>http://www.tci.edu/</v>
      </c>
      <c r="G1588" s="2" t="str">
        <f t="shared" ca="1" si="0"/>
        <v>The College of Insurance</v>
      </c>
      <c r="H1588" s="3" t="str">
        <f t="shared" ca="1" si="1"/>
        <v>The College of Insurance</v>
      </c>
      <c r="I1588" s="3" t="str">
        <f t="shared" ca="1" si="2"/>
        <v>'The College of Insurance',</v>
      </c>
    </row>
    <row r="1589" spans="1:9">
      <c r="A1589" s="1" t="s">
        <v>1587</v>
      </c>
      <c r="B1589" s="3" t="str">
        <f ca="1">IFERROR(__xludf.DUMMYFUNCTION("SPLIT(A1589,"","")"),"US")</f>
        <v>US</v>
      </c>
      <c r="C1589" s="3" t="str">
        <f ca="1">IFERROR(__xludf.DUMMYFUNCTION("""COMPUTED_VALUE"""),"The College of New Jersey")</f>
        <v>The College of New Jersey</v>
      </c>
      <c r="D1589" s="4" t="str">
        <f ca="1">IFERROR(__xludf.DUMMYFUNCTION("""COMPUTED_VALUE"""),"http://www.tcnj.edu/")</f>
        <v>http://www.tcnj.edu/</v>
      </c>
      <c r="G1589" s="2" t="str">
        <f t="shared" ca="1" si="0"/>
        <v>The College of New Jersey</v>
      </c>
      <c r="H1589" s="3" t="str">
        <f t="shared" ca="1" si="1"/>
        <v>The College of New Jersey</v>
      </c>
      <c r="I1589" s="3" t="str">
        <f t="shared" ca="1" si="2"/>
        <v>'The College of New Jersey',</v>
      </c>
    </row>
    <row r="1590" spans="1:9">
      <c r="A1590" s="1" t="s">
        <v>1588</v>
      </c>
      <c r="B1590" s="3" t="str">
        <f ca="1">IFERROR(__xludf.DUMMYFUNCTION("SPLIT(A1590,"","")"),"US")</f>
        <v>US</v>
      </c>
      <c r="C1590" s="3" t="str">
        <f ca="1">IFERROR(__xludf.DUMMYFUNCTION("""COMPUTED_VALUE"""),"The College of Santa Fe")</f>
        <v>The College of Santa Fe</v>
      </c>
      <c r="D1590" s="4" t="str">
        <f ca="1">IFERROR(__xludf.DUMMYFUNCTION("""COMPUTED_VALUE"""),"http://www.csf.edu/")</f>
        <v>http://www.csf.edu/</v>
      </c>
      <c r="G1590" s="2" t="str">
        <f t="shared" ca="1" si="0"/>
        <v>The College of Santa Fe</v>
      </c>
      <c r="H1590" s="3" t="str">
        <f t="shared" ca="1" si="1"/>
        <v>The College of Santa Fe</v>
      </c>
      <c r="I1590" s="3" t="str">
        <f t="shared" ca="1" si="2"/>
        <v>'The College of Santa Fe',</v>
      </c>
    </row>
    <row r="1591" spans="1:9">
      <c r="A1591" s="1" t="s">
        <v>1589</v>
      </c>
      <c r="B1591" s="3" t="str">
        <f ca="1">IFERROR(__xludf.DUMMYFUNCTION("SPLIT(A1591,"","")"),"US")</f>
        <v>US</v>
      </c>
      <c r="C1591" s="3" t="str">
        <f ca="1">IFERROR(__xludf.DUMMYFUNCTION("""COMPUTED_VALUE"""),"The College of St. Scholastica")</f>
        <v>The College of St. Scholastica</v>
      </c>
      <c r="D1591" s="4" t="str">
        <f ca="1">IFERROR(__xludf.DUMMYFUNCTION("""COMPUTED_VALUE"""),"http://www.css.edu/")</f>
        <v>http://www.css.edu/</v>
      </c>
      <c r="G1591" s="2" t="str">
        <f t="shared" ca="1" si="0"/>
        <v>The College of St. Scholastica</v>
      </c>
      <c r="H1591" s="3" t="str">
        <f t="shared" ca="1" si="1"/>
        <v>The College of St. Scholastica</v>
      </c>
      <c r="I1591" s="3" t="str">
        <f t="shared" ca="1" si="2"/>
        <v>'The College of St. Scholastica',</v>
      </c>
    </row>
    <row r="1592" spans="1:9">
      <c r="A1592" s="1" t="s">
        <v>1590</v>
      </c>
      <c r="B1592" s="3" t="str">
        <f ca="1">IFERROR(__xludf.DUMMYFUNCTION("SPLIT(A1592,"","")"),"US")</f>
        <v>US</v>
      </c>
      <c r="C1592" s="3" t="str">
        <f ca="1">IFERROR(__xludf.DUMMYFUNCTION("""COMPUTED_VALUE"""),"The College of Westchester")</f>
        <v>The College of Westchester</v>
      </c>
      <c r="D1592" s="4" t="str">
        <f ca="1">IFERROR(__xludf.DUMMYFUNCTION("""COMPUTED_VALUE"""),"http://www.cw.edu/")</f>
        <v>http://www.cw.edu/</v>
      </c>
      <c r="G1592" s="2" t="str">
        <f t="shared" ca="1" si="0"/>
        <v>The College of Westchester</v>
      </c>
      <c r="H1592" s="3" t="str">
        <f t="shared" ca="1" si="1"/>
        <v>The College of Westchester</v>
      </c>
      <c r="I1592" s="3" t="str">
        <f t="shared" ca="1" si="2"/>
        <v>'The College of Westchester',</v>
      </c>
    </row>
    <row r="1593" spans="1:9">
      <c r="A1593" s="1" t="s">
        <v>1591</v>
      </c>
      <c r="B1593" s="3" t="str">
        <f ca="1">IFERROR(__xludf.DUMMYFUNCTION("SPLIT(A1593,"","")"),"US")</f>
        <v>US</v>
      </c>
      <c r="C1593" s="3" t="str">
        <f ca="1">IFERROR(__xludf.DUMMYFUNCTION("""COMPUTED_VALUE"""),"The College of Wooster")</f>
        <v>The College of Wooster</v>
      </c>
      <c r="D1593" s="4" t="str">
        <f ca="1">IFERROR(__xludf.DUMMYFUNCTION("""COMPUTED_VALUE"""),"http://www.wooster.edu/")</f>
        <v>http://www.wooster.edu/</v>
      </c>
      <c r="G1593" s="2" t="str">
        <f t="shared" ca="1" si="0"/>
        <v>The College of Wooster</v>
      </c>
      <c r="H1593" s="3" t="str">
        <f t="shared" ca="1" si="1"/>
        <v>The College of Wooster</v>
      </c>
      <c r="I1593" s="3" t="str">
        <f t="shared" ca="1" si="2"/>
        <v>'The College of Wooster',</v>
      </c>
    </row>
    <row r="1594" spans="1:9">
      <c r="A1594" s="1" t="s">
        <v>1592</v>
      </c>
      <c r="B1594" s="3" t="str">
        <f ca="1">IFERROR(__xludf.DUMMYFUNCTION("SPLIT(A1594,"","")"),"US")</f>
        <v>US</v>
      </c>
      <c r="C1594" s="3" t="str">
        <f ca="1">IFERROR(__xludf.DUMMYFUNCTION("""COMPUTED_VALUE"""),"The Cooper Union for the Advancement of Science and Art")</f>
        <v>The Cooper Union for the Advancement of Science and Art</v>
      </c>
      <c r="D1594" s="4" t="str">
        <f ca="1">IFERROR(__xludf.DUMMYFUNCTION("""COMPUTED_VALUE"""),"http://www.cooper.edu/")</f>
        <v>http://www.cooper.edu/</v>
      </c>
      <c r="G1594" s="2" t="str">
        <f t="shared" ca="1" si="0"/>
        <v>The Cooper Union for the Advancement of Science and Art</v>
      </c>
      <c r="H1594" s="3" t="str">
        <f t="shared" ca="1" si="1"/>
        <v>The Cooper Union for the Advancement of Science and Art</v>
      </c>
      <c r="I1594" s="3" t="str">
        <f t="shared" ca="1" si="2"/>
        <v>'The Cooper Union for the Advancement of Science and Art',</v>
      </c>
    </row>
    <row r="1595" spans="1:9">
      <c r="A1595" s="1" t="s">
        <v>1593</v>
      </c>
      <c r="B1595" s="3" t="str">
        <f ca="1">IFERROR(__xludf.DUMMYFUNCTION("SPLIT(A1595,"","")"),"US")</f>
        <v>US</v>
      </c>
      <c r="C1595" s="3" t="str">
        <f ca="1">IFERROR(__xludf.DUMMYFUNCTION("""COMPUTED_VALUE"""),"The Corcoran College of Art")</f>
        <v>The Corcoran College of Art</v>
      </c>
      <c r="D1595" s="4" t="str">
        <f ca="1">IFERROR(__xludf.DUMMYFUNCTION("""COMPUTED_VALUE"""),"http://www.corcoran.edu/college/")</f>
        <v>http://www.corcoran.edu/college/</v>
      </c>
      <c r="G1595" s="2" t="str">
        <f t="shared" ca="1" si="0"/>
        <v>The Corcoran College of Art</v>
      </c>
      <c r="H1595" s="3" t="str">
        <f t="shared" ca="1" si="1"/>
        <v>The Corcoran College of Art</v>
      </c>
      <c r="I1595" s="3" t="str">
        <f t="shared" ca="1" si="2"/>
        <v>'The Corcoran College of Art',</v>
      </c>
    </row>
    <row r="1596" spans="1:9">
      <c r="A1596" s="1" t="s">
        <v>1594</v>
      </c>
      <c r="B1596" s="3" t="str">
        <f ca="1">IFERROR(__xludf.DUMMYFUNCTION("SPLIT(A1596,"","")"),"US")</f>
        <v>US</v>
      </c>
      <c r="C1596" s="3" t="str">
        <f ca="1">IFERROR(__xludf.DUMMYFUNCTION("""COMPUTED_VALUE"""),"The Curtis Institute of Music")</f>
        <v>The Curtis Institute of Music</v>
      </c>
      <c r="D1596" s="4" t="str">
        <f ca="1">IFERROR(__xludf.DUMMYFUNCTION("""COMPUTED_VALUE"""),"http://www.curtis.edu/")</f>
        <v>http://www.curtis.edu/</v>
      </c>
      <c r="G1596" s="2" t="str">
        <f t="shared" ca="1" si="0"/>
        <v>The Curtis Institute of Music</v>
      </c>
      <c r="H1596" s="3" t="str">
        <f t="shared" ca="1" si="1"/>
        <v>The Curtis Institute of Music</v>
      </c>
      <c r="I1596" s="3" t="str">
        <f t="shared" ca="1" si="2"/>
        <v>'The Curtis Institute of Music',</v>
      </c>
    </row>
    <row r="1597" spans="1:9">
      <c r="A1597" s="1" t="s">
        <v>1595</v>
      </c>
      <c r="B1597" s="3" t="str">
        <f ca="1">IFERROR(__xludf.DUMMYFUNCTION("SPLIT(A1597,"","")"),"US")</f>
        <v>US</v>
      </c>
      <c r="C1597" s="3" t="str">
        <f ca="1">IFERROR(__xludf.DUMMYFUNCTION("""COMPUTED_VALUE"""),"The Defiance College")</f>
        <v>The Defiance College</v>
      </c>
      <c r="D1597" s="4" t="str">
        <f ca="1">IFERROR(__xludf.DUMMYFUNCTION("""COMPUTED_VALUE"""),"http://www.defiance.edu/")</f>
        <v>http://www.defiance.edu/</v>
      </c>
      <c r="G1597" s="2" t="str">
        <f t="shared" ca="1" si="0"/>
        <v>The Defiance College</v>
      </c>
      <c r="H1597" s="3" t="str">
        <f t="shared" ca="1" si="1"/>
        <v>The Defiance College</v>
      </c>
      <c r="I1597" s="3" t="str">
        <f t="shared" ca="1" si="2"/>
        <v>'The Defiance College',</v>
      </c>
    </row>
    <row r="1598" spans="1:9">
      <c r="A1598" s="1" t="s">
        <v>1596</v>
      </c>
      <c r="B1598" s="3" t="str">
        <f ca="1">IFERROR(__xludf.DUMMYFUNCTION("SPLIT(A1598,"","")"),"US")</f>
        <v>US</v>
      </c>
      <c r="C1598" s="3" t="str">
        <f ca="1">IFERROR(__xludf.DUMMYFUNCTION("""COMPUTED_VALUE"""),"The Dickinson School of Law")</f>
        <v>The Dickinson School of Law</v>
      </c>
      <c r="D1598" s="4" t="str">
        <f ca="1">IFERROR(__xludf.DUMMYFUNCTION("""COMPUTED_VALUE"""),"http://www.dsl.edu/")</f>
        <v>http://www.dsl.edu/</v>
      </c>
      <c r="G1598" s="2" t="str">
        <f t="shared" ca="1" si="0"/>
        <v>The Dickinson School of Law</v>
      </c>
      <c r="H1598" s="3" t="str">
        <f t="shared" ca="1" si="1"/>
        <v>The Dickinson School of Law</v>
      </c>
      <c r="I1598" s="3" t="str">
        <f t="shared" ca="1" si="2"/>
        <v>'The Dickinson School of Law',</v>
      </c>
    </row>
    <row r="1599" spans="1:9">
      <c r="A1599" s="1" t="s">
        <v>1597</v>
      </c>
      <c r="B1599" s="3" t="str">
        <f ca="1">IFERROR(__xludf.DUMMYFUNCTION("SPLIT(A1599,"","")"),"US")</f>
        <v>US</v>
      </c>
      <c r="C1599" s="3" t="str">
        <f ca="1">IFERROR(__xludf.DUMMYFUNCTION("""COMPUTED_VALUE"""),"The Illinois Institute of Art-Chicago")</f>
        <v>The Illinois Institute of Art-Chicago</v>
      </c>
      <c r="D1599" s="4" t="str">
        <f ca="1">IFERROR(__xludf.DUMMYFUNCTION("""COMPUTED_VALUE"""),"http://www.ilic.artinstitutes.edu/")</f>
        <v>http://www.ilic.artinstitutes.edu/</v>
      </c>
      <c r="G1599" s="2" t="str">
        <f t="shared" ca="1" si="0"/>
        <v>The Illinois Institute of Art-Chicago</v>
      </c>
      <c r="H1599" s="3" t="str">
        <f t="shared" ca="1" si="1"/>
        <v>The Illinois Institute of Art-Chicago</v>
      </c>
      <c r="I1599" s="3" t="str">
        <f t="shared" ca="1" si="2"/>
        <v>'The Illinois Institute of Art-Chicago',</v>
      </c>
    </row>
    <row r="1600" spans="1:9">
      <c r="A1600" s="1" t="s">
        <v>1598</v>
      </c>
      <c r="B1600" s="3" t="str">
        <f ca="1">IFERROR(__xludf.DUMMYFUNCTION("SPLIT(A1600,"","")"),"US")</f>
        <v>US</v>
      </c>
      <c r="C1600" s="3" t="str">
        <f ca="1">IFERROR(__xludf.DUMMYFUNCTION("""COMPUTED_VALUE"""),"The Johns Hopkins University")</f>
        <v>The Johns Hopkins University</v>
      </c>
      <c r="D1600" s="4" t="str">
        <f ca="1">IFERROR(__xludf.DUMMYFUNCTION("""COMPUTED_VALUE"""),"http://www.jhu.edu/")</f>
        <v>http://www.jhu.edu/</v>
      </c>
      <c r="G1600" s="2" t="str">
        <f t="shared" ca="1" si="0"/>
        <v>The Johns Hopkins University</v>
      </c>
      <c r="H1600" s="3" t="str">
        <f t="shared" ca="1" si="1"/>
        <v>The Johns Hopkins University</v>
      </c>
      <c r="I1600" s="3" t="str">
        <f t="shared" ca="1" si="2"/>
        <v>'The Johns Hopkins University',</v>
      </c>
    </row>
    <row r="1601" spans="1:9">
      <c r="A1601" s="1" t="s">
        <v>1599</v>
      </c>
      <c r="B1601" s="3" t="str">
        <f ca="1">IFERROR(__xludf.DUMMYFUNCTION("SPLIT(A1601,"","")"),"US")</f>
        <v>US</v>
      </c>
      <c r="C1601" s="3" t="str">
        <f ca="1">IFERROR(__xludf.DUMMYFUNCTION("""COMPUTED_VALUE"""),"The Juilliard School")</f>
        <v>The Juilliard School</v>
      </c>
      <c r="D1601" s="4" t="str">
        <f ca="1">IFERROR(__xludf.DUMMYFUNCTION("""COMPUTED_VALUE"""),"http://www.juilliard.edu/")</f>
        <v>http://www.juilliard.edu/</v>
      </c>
      <c r="G1601" s="2" t="str">
        <f t="shared" ca="1" si="0"/>
        <v>The Juilliard School</v>
      </c>
      <c r="H1601" s="3" t="str">
        <f t="shared" ca="1" si="1"/>
        <v>The Juilliard School</v>
      </c>
      <c r="I1601" s="3" t="str">
        <f t="shared" ca="1" si="2"/>
        <v>'The Juilliard School',</v>
      </c>
    </row>
    <row r="1602" spans="1:9">
      <c r="A1602" s="1" t="s">
        <v>1600</v>
      </c>
      <c r="B1602" s="3" t="str">
        <f ca="1">IFERROR(__xludf.DUMMYFUNCTION("SPLIT(A1602,"","")"),"US")</f>
        <v>US</v>
      </c>
      <c r="C1602" s="3" t="str">
        <f ca="1">IFERROR(__xludf.DUMMYFUNCTION("""COMPUTED_VALUE"""),"The Leadership Institute of Seattle")</f>
        <v>The Leadership Institute of Seattle</v>
      </c>
      <c r="D1602" s="4" t="str">
        <f ca="1">IFERROR(__xludf.DUMMYFUNCTION("""COMPUTED_VALUE"""),"http://www.lios.org/")</f>
        <v>http://www.lios.org/</v>
      </c>
      <c r="G1602" s="2" t="str">
        <f t="shared" ca="1" si="0"/>
        <v>The Leadership Institute of Seattle</v>
      </c>
      <c r="H1602" s="3" t="str">
        <f t="shared" ca="1" si="1"/>
        <v>The Leadership Institute of Seattle</v>
      </c>
      <c r="I1602" s="3" t="str">
        <f t="shared" ca="1" si="2"/>
        <v>'The Leadership Institute of Seattle',</v>
      </c>
    </row>
    <row r="1603" spans="1:9">
      <c r="A1603" s="1" t="s">
        <v>1601</v>
      </c>
      <c r="B1603" s="3" t="str">
        <f ca="1">IFERROR(__xludf.DUMMYFUNCTION("SPLIT(A1603,"","")"),"US")</f>
        <v>US</v>
      </c>
      <c r="C1603" s="3" t="str">
        <f ca="1">IFERROR(__xludf.DUMMYFUNCTION("""COMPUTED_VALUE"""),"""The Maryland Institute")</f>
        <v>"The Maryland Institute</v>
      </c>
      <c r="D1603" s="3" t="str">
        <f ca="1">IFERROR(__xludf.DUMMYFUNCTION("""COMPUTED_VALUE""")," College of Art""")</f>
        <v xml:space="preserve"> College of Art"</v>
      </c>
      <c r="E1603" s="4" t="str">
        <f ca="1">IFERROR(__xludf.DUMMYFUNCTION("""COMPUTED_VALUE"""),"http://www.mica.edu/")</f>
        <v>http://www.mica.edu/</v>
      </c>
      <c r="G1603" s="2" t="str">
        <f t="shared" ca="1" si="0"/>
        <v>"The Maryland Institute</v>
      </c>
      <c r="H1603" s="3" t="str">
        <f t="shared" ca="1" si="1"/>
        <v>The Maryland Institute</v>
      </c>
      <c r="I1603" s="3" t="str">
        <f t="shared" ca="1" si="2"/>
        <v>'The Maryland Institute',</v>
      </c>
    </row>
    <row r="1604" spans="1:9">
      <c r="A1604" s="1" t="s">
        <v>1602</v>
      </c>
      <c r="B1604" s="3" t="str">
        <f ca="1">IFERROR(__xludf.DUMMYFUNCTION("SPLIT(A1604,"","")"),"US")</f>
        <v>US</v>
      </c>
      <c r="C1604" s="3" t="str">
        <f ca="1">IFERROR(__xludf.DUMMYFUNCTION("""COMPUTED_VALUE"""),"The Master's College")</f>
        <v>The Master's College</v>
      </c>
      <c r="D1604" s="4" t="str">
        <f ca="1">IFERROR(__xludf.DUMMYFUNCTION("""COMPUTED_VALUE"""),"http://www.masters.edu/")</f>
        <v>http://www.masters.edu/</v>
      </c>
      <c r="G1604" s="2" t="str">
        <f t="shared" ca="1" si="0"/>
        <v>The Master's College</v>
      </c>
      <c r="H1604" s="3" t="str">
        <f t="shared" ca="1" si="1"/>
        <v>The Master's College</v>
      </c>
      <c r="I1604" s="3" t="str">
        <f t="shared" ca="1" si="2"/>
        <v>'The Master's College',</v>
      </c>
    </row>
    <row r="1605" spans="1:9">
      <c r="A1605" s="1" t="s">
        <v>1603</v>
      </c>
      <c r="B1605" s="3" t="str">
        <f ca="1">IFERROR(__xludf.DUMMYFUNCTION("SPLIT(A1605,"","")"),"US")</f>
        <v>US</v>
      </c>
      <c r="C1605" s="3" t="str">
        <f ca="1">IFERROR(__xludf.DUMMYFUNCTION("""COMPUTED_VALUE"""),"The McGregor School of Antioch University")</f>
        <v>The McGregor School of Antioch University</v>
      </c>
      <c r="D1605" s="4" t="str">
        <f ca="1">IFERROR(__xludf.DUMMYFUNCTION("""COMPUTED_VALUE"""),"http://www.mcgregor.edu/")</f>
        <v>http://www.mcgregor.edu/</v>
      </c>
      <c r="G1605" s="2" t="str">
        <f t="shared" ca="1" si="0"/>
        <v>The McGregor School of Antioch University</v>
      </c>
      <c r="H1605" s="3" t="str">
        <f t="shared" ca="1" si="1"/>
        <v>The McGregor School of Antioch University</v>
      </c>
      <c r="I1605" s="3" t="str">
        <f t="shared" ca="1" si="2"/>
        <v>'The McGregor School of Antioch University',</v>
      </c>
    </row>
    <row r="1606" spans="1:9">
      <c r="A1606" s="1" t="s">
        <v>1604</v>
      </c>
      <c r="B1606" s="3" t="str">
        <f ca="1">IFERROR(__xludf.DUMMYFUNCTION("SPLIT(A1606,"","")"),"US")</f>
        <v>US</v>
      </c>
      <c r="C1606" s="3" t="str">
        <f ca="1">IFERROR(__xludf.DUMMYFUNCTION("""COMPUTED_VALUE"""),"The Naropa Institute")</f>
        <v>The Naropa Institute</v>
      </c>
      <c r="D1606" s="4" t="str">
        <f ca="1">IFERROR(__xludf.DUMMYFUNCTION("""COMPUTED_VALUE"""),"http://www.naropa.edu/")</f>
        <v>http://www.naropa.edu/</v>
      </c>
      <c r="G1606" s="2" t="str">
        <f t="shared" ca="1" si="0"/>
        <v>The Naropa Institute</v>
      </c>
      <c r="H1606" s="3" t="str">
        <f t="shared" ca="1" si="1"/>
        <v>The Naropa Institute</v>
      </c>
      <c r="I1606" s="3" t="str">
        <f t="shared" ca="1" si="2"/>
        <v>'The Naropa Institute',</v>
      </c>
    </row>
    <row r="1607" spans="1:9">
      <c r="A1607" s="1" t="s">
        <v>1605</v>
      </c>
      <c r="B1607" s="3" t="str">
        <f ca="1">IFERROR(__xludf.DUMMYFUNCTION("SPLIT(A1607,"","")"),"US")</f>
        <v>US</v>
      </c>
      <c r="C1607" s="3" t="str">
        <f ca="1">IFERROR(__xludf.DUMMYFUNCTION("""COMPUTED_VALUE"""),"The New School")</f>
        <v>The New School</v>
      </c>
      <c r="D1607" s="4" t="str">
        <f ca="1">IFERROR(__xludf.DUMMYFUNCTION("""COMPUTED_VALUE"""),"http://www.newschool.edu/")</f>
        <v>http://www.newschool.edu/</v>
      </c>
      <c r="G1607" s="2" t="str">
        <f t="shared" ca="1" si="0"/>
        <v>The New School</v>
      </c>
      <c r="H1607" s="3" t="str">
        <f t="shared" ca="1" si="1"/>
        <v>The New School</v>
      </c>
      <c r="I1607" s="3" t="str">
        <f t="shared" ca="1" si="2"/>
        <v>'The New School',</v>
      </c>
    </row>
    <row r="1608" spans="1:9">
      <c r="A1608" s="1" t="s">
        <v>1606</v>
      </c>
      <c r="B1608" s="3" t="str">
        <f ca="1">IFERROR(__xludf.DUMMYFUNCTION("SPLIT(A1608,"","")"),"US")</f>
        <v>US</v>
      </c>
      <c r="C1608" s="3" t="str">
        <f ca="1">IFERROR(__xludf.DUMMYFUNCTION("""COMPUTED_VALUE"""),"The Rockefeller University")</f>
        <v>The Rockefeller University</v>
      </c>
      <c r="D1608" s="4" t="str">
        <f ca="1">IFERROR(__xludf.DUMMYFUNCTION("""COMPUTED_VALUE"""),"http://www.rockefeller.edu/")</f>
        <v>http://www.rockefeller.edu/</v>
      </c>
      <c r="G1608" s="2" t="str">
        <f t="shared" ca="1" si="0"/>
        <v>The Rockefeller University</v>
      </c>
      <c r="H1608" s="3" t="str">
        <f t="shared" ca="1" si="1"/>
        <v>The Rockefeller University</v>
      </c>
      <c r="I1608" s="3" t="str">
        <f t="shared" ca="1" si="2"/>
        <v>'The Rockefeller University',</v>
      </c>
    </row>
    <row r="1609" spans="1:9">
      <c r="A1609" s="1" t="s">
        <v>1607</v>
      </c>
      <c r="B1609" s="3" t="str">
        <f ca="1">IFERROR(__xludf.DUMMYFUNCTION("SPLIT(A1609,"","")"),"US")</f>
        <v>US</v>
      </c>
      <c r="C1609" s="3" t="str">
        <f ca="1">IFERROR(__xludf.DUMMYFUNCTION("""COMPUTED_VALUE"""),"The School of the Art Institute of Chicago")</f>
        <v>The School of the Art Institute of Chicago</v>
      </c>
      <c r="D1609" s="4" t="str">
        <f ca="1">IFERROR(__xludf.DUMMYFUNCTION("""COMPUTED_VALUE"""),"http://www.artic.edu/")</f>
        <v>http://www.artic.edu/</v>
      </c>
      <c r="G1609" s="2" t="str">
        <f t="shared" ca="1" si="0"/>
        <v>The School of the Art Institute of Chicago</v>
      </c>
      <c r="H1609" s="3" t="str">
        <f t="shared" ca="1" si="1"/>
        <v>The School of the Art Institute of Chicago</v>
      </c>
      <c r="I1609" s="3" t="str">
        <f t="shared" ca="1" si="2"/>
        <v>'The School of the Art Institute of Chicago',</v>
      </c>
    </row>
    <row r="1610" spans="1:9">
      <c r="A1610" s="1" t="s">
        <v>1608</v>
      </c>
      <c r="B1610" s="3" t="str">
        <f ca="1">IFERROR(__xludf.DUMMYFUNCTION("SPLIT(A1610,"","")"),"US")</f>
        <v>US</v>
      </c>
      <c r="C1610" s="3" t="str">
        <f ca="1">IFERROR(__xludf.DUMMYFUNCTION("""COMPUTED_VALUE"""),"The Scripps Research Institute")</f>
        <v>The Scripps Research Institute</v>
      </c>
      <c r="D1610" s="4" t="str">
        <f ca="1">IFERROR(__xludf.DUMMYFUNCTION("""COMPUTED_VALUE"""),"http://www.scripps.edu/")</f>
        <v>http://www.scripps.edu/</v>
      </c>
      <c r="G1610" s="2" t="str">
        <f t="shared" ca="1" si="0"/>
        <v>The Scripps Research Institute</v>
      </c>
      <c r="H1610" s="3" t="str">
        <f t="shared" ca="1" si="1"/>
        <v>The Scripps Research Institute</v>
      </c>
      <c r="I1610" s="3" t="str">
        <f t="shared" ca="1" si="2"/>
        <v>'The Scripps Research Institute',</v>
      </c>
    </row>
    <row r="1611" spans="1:9">
      <c r="A1611" s="1" t="s">
        <v>1609</v>
      </c>
      <c r="B1611" s="3" t="str">
        <f ca="1">IFERROR(__xludf.DUMMYFUNCTION("SPLIT(A1611,"","")"),"US")</f>
        <v>US</v>
      </c>
      <c r="C1611" s="3" t="str">
        <f ca="1">IFERROR(__xludf.DUMMYFUNCTION("""COMPUTED_VALUE"""),"The Southern Christian University")</f>
        <v>The Southern Christian University</v>
      </c>
      <c r="D1611" s="4" t="str">
        <f ca="1">IFERROR(__xludf.DUMMYFUNCTION("""COMPUTED_VALUE"""),"http://www.southernchristian.edu/")</f>
        <v>http://www.southernchristian.edu/</v>
      </c>
      <c r="G1611" s="2" t="str">
        <f t="shared" ca="1" si="0"/>
        <v>The Southern Christian University</v>
      </c>
      <c r="H1611" s="3" t="str">
        <f t="shared" ca="1" si="1"/>
        <v>The Southern Christian University</v>
      </c>
      <c r="I1611" s="3" t="str">
        <f t="shared" ca="1" si="2"/>
        <v>'The Southern Christian University',</v>
      </c>
    </row>
    <row r="1612" spans="1:9">
      <c r="A1612" s="1" t="s">
        <v>1610</v>
      </c>
      <c r="B1612" s="3" t="str">
        <f ca="1">IFERROR(__xludf.DUMMYFUNCTION("SPLIT(A1612,"","")"),"US")</f>
        <v>US</v>
      </c>
      <c r="C1612" s="3" t="str">
        <f ca="1">IFERROR(__xludf.DUMMYFUNCTION("""COMPUTED_VALUE"""),"The Tulane University of New Orleans")</f>
        <v>The Tulane University of New Orleans</v>
      </c>
      <c r="D1612" s="4" t="str">
        <f ca="1">IFERROR(__xludf.DUMMYFUNCTION("""COMPUTED_VALUE"""),"http://www.tulane.edu/")</f>
        <v>http://www.tulane.edu/</v>
      </c>
      <c r="G1612" s="2" t="str">
        <f t="shared" ca="1" si="0"/>
        <v>The Tulane University of New Orleans</v>
      </c>
      <c r="H1612" s="3" t="str">
        <f t="shared" ca="1" si="1"/>
        <v>The Tulane University of New Orleans</v>
      </c>
      <c r="I1612" s="3" t="str">
        <f t="shared" ca="1" si="2"/>
        <v>'The Tulane University of New Orleans',</v>
      </c>
    </row>
    <row r="1613" spans="1:9">
      <c r="A1613" s="1" t="s">
        <v>1611</v>
      </c>
      <c r="B1613" s="3" t="str">
        <f ca="1">IFERROR(__xludf.DUMMYFUNCTION("SPLIT(A1613,"","")"),"US")</f>
        <v>US</v>
      </c>
      <c r="C1613" s="3" t="str">
        <f ca="1">IFERROR(__xludf.DUMMYFUNCTION("""COMPUTED_VALUE"""),"The Union Institute")</f>
        <v>The Union Institute</v>
      </c>
      <c r="D1613" s="4" t="str">
        <f ca="1">IFERROR(__xludf.DUMMYFUNCTION("""COMPUTED_VALUE"""),"http://www.tui.edu/")</f>
        <v>http://www.tui.edu/</v>
      </c>
      <c r="G1613" s="2" t="str">
        <f t="shared" ca="1" si="0"/>
        <v>The Union Institute</v>
      </c>
      <c r="H1613" s="3" t="str">
        <f t="shared" ca="1" si="1"/>
        <v>The Union Institute</v>
      </c>
      <c r="I1613" s="3" t="str">
        <f t="shared" ca="1" si="2"/>
        <v>'The Union Institute',</v>
      </c>
    </row>
    <row r="1614" spans="1:9">
      <c r="A1614" s="1" t="s">
        <v>1612</v>
      </c>
      <c r="B1614" s="3" t="str">
        <f ca="1">IFERROR(__xludf.DUMMYFUNCTION("SPLIT(A1614,"","")"),"US")</f>
        <v>US</v>
      </c>
      <c r="C1614" s="3" t="str">
        <f ca="1">IFERROR(__xludf.DUMMYFUNCTION("""COMPUTED_VALUE"""),"Thiel College")</f>
        <v>Thiel College</v>
      </c>
      <c r="D1614" s="4" t="str">
        <f ca="1">IFERROR(__xludf.DUMMYFUNCTION("""COMPUTED_VALUE"""),"http://www.thiel.edu/")</f>
        <v>http://www.thiel.edu/</v>
      </c>
      <c r="G1614" s="2" t="str">
        <f t="shared" ca="1" si="0"/>
        <v>Thiel College</v>
      </c>
      <c r="H1614" s="3" t="str">
        <f t="shared" ca="1" si="1"/>
        <v>Thiel College</v>
      </c>
      <c r="I1614" s="3" t="str">
        <f t="shared" ca="1" si="2"/>
        <v>'Thiel College',</v>
      </c>
    </row>
    <row r="1615" spans="1:9">
      <c r="A1615" s="1" t="s">
        <v>1613</v>
      </c>
      <c r="B1615" s="3" t="str">
        <f ca="1">IFERROR(__xludf.DUMMYFUNCTION("SPLIT(A1615,"","")"),"US")</f>
        <v>US</v>
      </c>
      <c r="C1615" s="3" t="str">
        <f ca="1">IFERROR(__xludf.DUMMYFUNCTION("""COMPUTED_VALUE"""),"Thomas A. Edison State College")</f>
        <v>Thomas A. Edison State College</v>
      </c>
      <c r="D1615" s="4" t="str">
        <f ca="1">IFERROR(__xludf.DUMMYFUNCTION("""COMPUTED_VALUE"""),"http://www.tesc.edu/")</f>
        <v>http://www.tesc.edu/</v>
      </c>
      <c r="G1615" s="2" t="str">
        <f t="shared" ca="1" si="0"/>
        <v>Thomas A. Edison State College</v>
      </c>
      <c r="H1615" s="3" t="str">
        <f t="shared" ca="1" si="1"/>
        <v>Thomas A. Edison State College</v>
      </c>
      <c r="I1615" s="3" t="str">
        <f t="shared" ca="1" si="2"/>
        <v>'Thomas A. Edison State College',</v>
      </c>
    </row>
    <row r="1616" spans="1:9">
      <c r="A1616" s="1" t="s">
        <v>1614</v>
      </c>
      <c r="B1616" s="3" t="str">
        <f ca="1">IFERROR(__xludf.DUMMYFUNCTION("SPLIT(A1616,"","")"),"US")</f>
        <v>US</v>
      </c>
      <c r="C1616" s="3" t="str">
        <f ca="1">IFERROR(__xludf.DUMMYFUNCTION("""COMPUTED_VALUE"""),"Thomas Aquinas College")</f>
        <v>Thomas Aquinas College</v>
      </c>
      <c r="D1616" s="4" t="str">
        <f ca="1">IFERROR(__xludf.DUMMYFUNCTION("""COMPUTED_VALUE"""),"http://www.thomasaquinas.edu/")</f>
        <v>http://www.thomasaquinas.edu/</v>
      </c>
      <c r="G1616" s="2" t="str">
        <f t="shared" ca="1" si="0"/>
        <v>Thomas Aquinas College</v>
      </c>
      <c r="H1616" s="3" t="str">
        <f t="shared" ca="1" si="1"/>
        <v>Thomas Aquinas College</v>
      </c>
      <c r="I1616" s="3" t="str">
        <f t="shared" ca="1" si="2"/>
        <v>'Thomas Aquinas College',</v>
      </c>
    </row>
    <row r="1617" spans="1:9">
      <c r="A1617" s="1" t="s">
        <v>1615</v>
      </c>
      <c r="B1617" s="3" t="str">
        <f ca="1">IFERROR(__xludf.DUMMYFUNCTION("SPLIT(A1617,"","")"),"US")</f>
        <v>US</v>
      </c>
      <c r="C1617" s="3" t="str">
        <f ca="1">IFERROR(__xludf.DUMMYFUNCTION("""COMPUTED_VALUE"""),"Thomas College Maine")</f>
        <v>Thomas College Maine</v>
      </c>
      <c r="D1617" s="4" t="str">
        <f ca="1">IFERROR(__xludf.DUMMYFUNCTION("""COMPUTED_VALUE"""),"http://www.thomas.edu/")</f>
        <v>http://www.thomas.edu/</v>
      </c>
      <c r="G1617" s="2" t="str">
        <f t="shared" ca="1" si="0"/>
        <v>Thomas College Maine</v>
      </c>
      <c r="H1617" s="3" t="str">
        <f t="shared" ca="1" si="1"/>
        <v>Thomas College Maine</v>
      </c>
      <c r="I1617" s="3" t="str">
        <f t="shared" ca="1" si="2"/>
        <v>'Thomas College Maine',</v>
      </c>
    </row>
    <row r="1618" spans="1:9">
      <c r="A1618" s="1" t="s">
        <v>1616</v>
      </c>
      <c r="B1618" s="3" t="str">
        <f ca="1">IFERROR(__xludf.DUMMYFUNCTION("SPLIT(A1618,"","")"),"US")</f>
        <v>US</v>
      </c>
      <c r="C1618" s="3" t="str">
        <f ca="1">IFERROR(__xludf.DUMMYFUNCTION("""COMPUTED_VALUE"""),"Thomas Jefferson University")</f>
        <v>Thomas Jefferson University</v>
      </c>
      <c r="D1618" s="4" t="str">
        <f ca="1">IFERROR(__xludf.DUMMYFUNCTION("""COMPUTED_VALUE"""),"http://www.tju.edu/")</f>
        <v>http://www.tju.edu/</v>
      </c>
      <c r="G1618" s="2" t="str">
        <f t="shared" ca="1" si="0"/>
        <v>Thomas Jefferson University</v>
      </c>
      <c r="H1618" s="3" t="str">
        <f t="shared" ca="1" si="1"/>
        <v>Thomas Jefferson University</v>
      </c>
      <c r="I1618" s="3" t="str">
        <f t="shared" ca="1" si="2"/>
        <v>'Thomas Jefferson University',</v>
      </c>
    </row>
    <row r="1619" spans="1:9">
      <c r="A1619" s="1" t="s">
        <v>1617</v>
      </c>
      <c r="B1619" s="3" t="str">
        <f ca="1">IFERROR(__xludf.DUMMYFUNCTION("SPLIT(A1619,"","")"),"US")</f>
        <v>US</v>
      </c>
      <c r="C1619" s="3" t="str">
        <f ca="1">IFERROR(__xludf.DUMMYFUNCTION("""COMPUTED_VALUE"""),"Thomas More College")</f>
        <v>Thomas More College</v>
      </c>
      <c r="D1619" s="4" t="str">
        <f ca="1">IFERROR(__xludf.DUMMYFUNCTION("""COMPUTED_VALUE"""),"http://www.thomasmore.edu/")</f>
        <v>http://www.thomasmore.edu/</v>
      </c>
      <c r="G1619" s="2" t="str">
        <f t="shared" ca="1" si="0"/>
        <v>Thomas More College</v>
      </c>
      <c r="H1619" s="3" t="str">
        <f t="shared" ca="1" si="1"/>
        <v>Thomas More College</v>
      </c>
      <c r="I1619" s="3" t="str">
        <f t="shared" ca="1" si="2"/>
        <v>'Thomas More College',</v>
      </c>
    </row>
    <row r="1620" spans="1:9">
      <c r="A1620" s="1" t="s">
        <v>1618</v>
      </c>
      <c r="B1620" s="3" t="str">
        <f ca="1">IFERROR(__xludf.DUMMYFUNCTION("SPLIT(A1620,"","")"),"US")</f>
        <v>US</v>
      </c>
      <c r="C1620" s="3" t="str">
        <f ca="1">IFERROR(__xludf.DUMMYFUNCTION("""COMPUTED_VALUE"""),"Thomas More College of Liberal Arts")</f>
        <v>Thomas More College of Liberal Arts</v>
      </c>
      <c r="D1620" s="4" t="str">
        <f ca="1">IFERROR(__xludf.DUMMYFUNCTION("""COMPUTED_VALUE"""),"http://www.thomasmorecollege.edu/")</f>
        <v>http://www.thomasmorecollege.edu/</v>
      </c>
      <c r="G1620" s="2" t="str">
        <f t="shared" ca="1" si="0"/>
        <v>Thomas More College of Liberal Arts</v>
      </c>
      <c r="H1620" s="3" t="str">
        <f t="shared" ca="1" si="1"/>
        <v>Thomas More College of Liberal Arts</v>
      </c>
      <c r="I1620" s="3" t="str">
        <f t="shared" ca="1" si="2"/>
        <v>'Thomas More College of Liberal Arts',</v>
      </c>
    </row>
    <row r="1621" spans="1:9">
      <c r="A1621" s="1" t="s">
        <v>1619</v>
      </c>
      <c r="B1621" s="3" t="str">
        <f ca="1">IFERROR(__xludf.DUMMYFUNCTION("SPLIT(A1621,"","")"),"US")</f>
        <v>US</v>
      </c>
      <c r="C1621" s="3" t="str">
        <f ca="1">IFERROR(__xludf.DUMMYFUNCTION("""COMPUTED_VALUE"""),"Thomas University")</f>
        <v>Thomas University</v>
      </c>
      <c r="D1621" s="4" t="str">
        <f ca="1">IFERROR(__xludf.DUMMYFUNCTION("""COMPUTED_VALUE"""),"http://www.thomasu.edu/")</f>
        <v>http://www.thomasu.edu/</v>
      </c>
      <c r="G1621" s="2" t="str">
        <f t="shared" ca="1" si="0"/>
        <v>Thomas University</v>
      </c>
      <c r="H1621" s="3" t="str">
        <f t="shared" ca="1" si="1"/>
        <v>Thomas University</v>
      </c>
      <c r="I1621" s="3" t="str">
        <f t="shared" ca="1" si="2"/>
        <v>'Thomas University',</v>
      </c>
    </row>
    <row r="1622" spans="1:9">
      <c r="A1622" s="1" t="s">
        <v>1620</v>
      </c>
      <c r="B1622" s="3" t="str">
        <f ca="1">IFERROR(__xludf.DUMMYFUNCTION("SPLIT(A1622,"","")"),"US")</f>
        <v>US</v>
      </c>
      <c r="C1622" s="3" t="str">
        <f ca="1">IFERROR(__xludf.DUMMYFUNCTION("""COMPUTED_VALUE"""),"Thunderbird School of Global Management")</f>
        <v>Thunderbird School of Global Management</v>
      </c>
      <c r="D1622" s="4" t="str">
        <f ca="1">IFERROR(__xludf.DUMMYFUNCTION("""COMPUTED_VALUE"""),"http://www.thunderbird.edu/")</f>
        <v>http://www.thunderbird.edu/</v>
      </c>
      <c r="G1622" s="2" t="str">
        <f t="shared" ca="1" si="0"/>
        <v>Thunderbird School of Global Management</v>
      </c>
      <c r="H1622" s="3" t="str">
        <f t="shared" ca="1" si="1"/>
        <v>Thunderbird School of Global Management</v>
      </c>
      <c r="I1622" s="3" t="str">
        <f t="shared" ca="1" si="2"/>
        <v>'Thunderbird School of Global Management',</v>
      </c>
    </row>
    <row r="1623" spans="1:9">
      <c r="A1623" s="1" t="s">
        <v>1621</v>
      </c>
      <c r="B1623" s="3" t="str">
        <f ca="1">IFERROR(__xludf.DUMMYFUNCTION("SPLIT(A1623,"","")"),"US")</f>
        <v>US</v>
      </c>
      <c r="C1623" s="3" t="str">
        <f ca="1">IFERROR(__xludf.DUMMYFUNCTION("""COMPUTED_VALUE"""),"Tiffin University")</f>
        <v>Tiffin University</v>
      </c>
      <c r="D1623" s="4" t="str">
        <f ca="1">IFERROR(__xludf.DUMMYFUNCTION("""COMPUTED_VALUE"""),"http://www.tiffin.edu/")</f>
        <v>http://www.tiffin.edu/</v>
      </c>
      <c r="G1623" s="2" t="str">
        <f t="shared" ca="1" si="0"/>
        <v>Tiffin University</v>
      </c>
      <c r="H1623" s="3" t="str">
        <f t="shared" ca="1" si="1"/>
        <v>Tiffin University</v>
      </c>
      <c r="I1623" s="3" t="str">
        <f t="shared" ca="1" si="2"/>
        <v>'Tiffin University',</v>
      </c>
    </row>
    <row r="1624" spans="1:9">
      <c r="A1624" s="1" t="s">
        <v>1622</v>
      </c>
      <c r="B1624" s="3" t="str">
        <f ca="1">IFERROR(__xludf.DUMMYFUNCTION("SPLIT(A1624,"","")"),"US")</f>
        <v>US</v>
      </c>
      <c r="C1624" s="3" t="str">
        <f ca="1">IFERROR(__xludf.DUMMYFUNCTION("""COMPUTED_VALUE"""),"Toccoa Falls College")</f>
        <v>Toccoa Falls College</v>
      </c>
      <c r="D1624" s="4" t="str">
        <f ca="1">IFERROR(__xludf.DUMMYFUNCTION("""COMPUTED_VALUE"""),"http://www.toccoafalls.edu/")</f>
        <v>http://www.toccoafalls.edu/</v>
      </c>
      <c r="G1624" s="2" t="str">
        <f t="shared" ca="1" si="0"/>
        <v>Toccoa Falls College</v>
      </c>
      <c r="H1624" s="3" t="str">
        <f t="shared" ca="1" si="1"/>
        <v>Toccoa Falls College</v>
      </c>
      <c r="I1624" s="3" t="str">
        <f t="shared" ca="1" si="2"/>
        <v>'Toccoa Falls College',</v>
      </c>
    </row>
    <row r="1625" spans="1:9">
      <c r="A1625" s="1" t="s">
        <v>1623</v>
      </c>
      <c r="B1625" s="3" t="str">
        <f ca="1">IFERROR(__xludf.DUMMYFUNCTION("SPLIT(A1625,"","")"),"US")</f>
        <v>US</v>
      </c>
      <c r="C1625" s="3" t="str">
        <f ca="1">IFERROR(__xludf.DUMMYFUNCTION("""COMPUTED_VALUE"""),"Tomball College")</f>
        <v>Tomball College</v>
      </c>
      <c r="D1625" s="4" t="str">
        <f ca="1">IFERROR(__xludf.DUMMYFUNCTION("""COMPUTED_VALUE"""),"http://wwwtc.nhmccd.edu/")</f>
        <v>http://wwwtc.nhmccd.edu/</v>
      </c>
      <c r="G1625" s="2" t="str">
        <f t="shared" ca="1" si="0"/>
        <v>Tomball College</v>
      </c>
      <c r="H1625" s="3" t="str">
        <f t="shared" ca="1" si="1"/>
        <v>Tomball College</v>
      </c>
      <c r="I1625" s="3" t="str">
        <f t="shared" ca="1" si="2"/>
        <v>'Tomball College',</v>
      </c>
    </row>
    <row r="1626" spans="1:9">
      <c r="A1626" s="1" t="s">
        <v>1624</v>
      </c>
      <c r="B1626" s="3" t="str">
        <f ca="1">IFERROR(__xludf.DUMMYFUNCTION("SPLIT(A1626,"","")"),"US")</f>
        <v>US</v>
      </c>
      <c r="C1626" s="3" t="str">
        <f ca="1">IFERROR(__xludf.DUMMYFUNCTION("""COMPUTED_VALUE"""),"Tougaloo College")</f>
        <v>Tougaloo College</v>
      </c>
      <c r="D1626" s="4" t="str">
        <f ca="1">IFERROR(__xludf.DUMMYFUNCTION("""COMPUTED_VALUE"""),"http://www.tougaloo.edu/")</f>
        <v>http://www.tougaloo.edu/</v>
      </c>
      <c r="G1626" s="2" t="str">
        <f t="shared" ca="1" si="0"/>
        <v>Tougaloo College</v>
      </c>
      <c r="H1626" s="3" t="str">
        <f t="shared" ca="1" si="1"/>
        <v>Tougaloo College</v>
      </c>
      <c r="I1626" s="3" t="str">
        <f t="shared" ca="1" si="2"/>
        <v>'Tougaloo College',</v>
      </c>
    </row>
    <row r="1627" spans="1:9">
      <c r="A1627" s="1" t="s">
        <v>1625</v>
      </c>
      <c r="B1627" s="3" t="str">
        <f ca="1">IFERROR(__xludf.DUMMYFUNCTION("SPLIT(A1627,"","")"),"US")</f>
        <v>US</v>
      </c>
      <c r="C1627" s="3" t="str">
        <f ca="1">IFERROR(__xludf.DUMMYFUNCTION("""COMPUTED_VALUE"""),"Touro College")</f>
        <v>Touro College</v>
      </c>
      <c r="D1627" s="4" t="str">
        <f ca="1">IFERROR(__xludf.DUMMYFUNCTION("""COMPUTED_VALUE"""),"http://www.touro.edu/")</f>
        <v>http://www.touro.edu/</v>
      </c>
      <c r="G1627" s="2" t="str">
        <f t="shared" ca="1" si="0"/>
        <v>Touro College</v>
      </c>
      <c r="H1627" s="3" t="str">
        <f t="shared" ca="1" si="1"/>
        <v>Touro College</v>
      </c>
      <c r="I1627" s="3" t="str">
        <f t="shared" ca="1" si="2"/>
        <v>'Touro College',</v>
      </c>
    </row>
    <row r="1628" spans="1:9">
      <c r="A1628" s="1" t="s">
        <v>1626</v>
      </c>
      <c r="B1628" s="3" t="str">
        <f ca="1">IFERROR(__xludf.DUMMYFUNCTION("SPLIT(A1628,"","")"),"US")</f>
        <v>US</v>
      </c>
      <c r="C1628" s="3" t="str">
        <f ca="1">IFERROR(__xludf.DUMMYFUNCTION("""COMPUTED_VALUE"""),"Touro University")</f>
        <v>Touro University</v>
      </c>
      <c r="D1628" s="4" t="str">
        <f ca="1">IFERROR(__xludf.DUMMYFUNCTION("""COMPUTED_VALUE"""),"http://www.tu.edu/")</f>
        <v>http://www.tu.edu/</v>
      </c>
      <c r="G1628" s="2" t="str">
        <f t="shared" ca="1" si="0"/>
        <v>Touro University</v>
      </c>
      <c r="H1628" s="3" t="str">
        <f t="shared" ca="1" si="1"/>
        <v>Touro University</v>
      </c>
      <c r="I1628" s="3" t="str">
        <f t="shared" ca="1" si="2"/>
        <v>'Touro University',</v>
      </c>
    </row>
    <row r="1629" spans="1:9">
      <c r="A1629" s="1" t="s">
        <v>1627</v>
      </c>
      <c r="B1629" s="3" t="str">
        <f ca="1">IFERROR(__xludf.DUMMYFUNCTION("SPLIT(A1629,"","")"),"US")</f>
        <v>US</v>
      </c>
      <c r="C1629" s="3" t="str">
        <f ca="1">IFERROR(__xludf.DUMMYFUNCTION("""COMPUTED_VALUE"""),"Towson University")</f>
        <v>Towson University</v>
      </c>
      <c r="D1629" s="4" t="str">
        <f ca="1">IFERROR(__xludf.DUMMYFUNCTION("""COMPUTED_VALUE"""),"http://www.towson.edu/")</f>
        <v>http://www.towson.edu/</v>
      </c>
      <c r="G1629" s="2" t="str">
        <f t="shared" ca="1" si="0"/>
        <v>Towson University</v>
      </c>
      <c r="H1629" s="3" t="str">
        <f t="shared" ca="1" si="1"/>
        <v>Towson University</v>
      </c>
      <c r="I1629" s="3" t="str">
        <f t="shared" ca="1" si="2"/>
        <v>'Towson University',</v>
      </c>
    </row>
    <row r="1630" spans="1:9">
      <c r="A1630" s="1" t="s">
        <v>1628</v>
      </c>
      <c r="B1630" s="3" t="str">
        <f ca="1">IFERROR(__xludf.DUMMYFUNCTION("SPLIT(A1630,"","")"),"US")</f>
        <v>US</v>
      </c>
      <c r="C1630" s="3" t="str">
        <f ca="1">IFERROR(__xludf.DUMMYFUNCTION("""COMPUTED_VALUE"""),"Transylvania University")</f>
        <v>Transylvania University</v>
      </c>
      <c r="D1630" s="4" t="str">
        <f ca="1">IFERROR(__xludf.DUMMYFUNCTION("""COMPUTED_VALUE"""),"http://www.transy.edu/")</f>
        <v>http://www.transy.edu/</v>
      </c>
      <c r="G1630" s="2" t="str">
        <f t="shared" ca="1" si="0"/>
        <v>Transylvania University</v>
      </c>
      <c r="H1630" s="3" t="str">
        <f t="shared" ca="1" si="1"/>
        <v>Transylvania University</v>
      </c>
      <c r="I1630" s="3" t="str">
        <f t="shared" ca="1" si="2"/>
        <v>'Transylvania University',</v>
      </c>
    </row>
    <row r="1631" spans="1:9">
      <c r="A1631" s="1" t="s">
        <v>1629</v>
      </c>
      <c r="B1631" s="3" t="str">
        <f ca="1">IFERROR(__xludf.DUMMYFUNCTION("SPLIT(A1631,"","")"),"US")</f>
        <v>US</v>
      </c>
      <c r="C1631" s="3" t="str">
        <f ca="1">IFERROR(__xludf.DUMMYFUNCTION("""COMPUTED_VALUE"""),"Trevecca Nazarene University")</f>
        <v>Trevecca Nazarene University</v>
      </c>
      <c r="D1631" s="4" t="str">
        <f ca="1">IFERROR(__xludf.DUMMYFUNCTION("""COMPUTED_VALUE"""),"http://www.trevecca.edu/")</f>
        <v>http://www.trevecca.edu/</v>
      </c>
      <c r="G1631" s="2" t="str">
        <f t="shared" ca="1" si="0"/>
        <v>Trevecca Nazarene University</v>
      </c>
      <c r="H1631" s="3" t="str">
        <f t="shared" ca="1" si="1"/>
        <v>Trevecca Nazarene University</v>
      </c>
      <c r="I1631" s="3" t="str">
        <f t="shared" ca="1" si="2"/>
        <v>'Trevecca Nazarene University',</v>
      </c>
    </row>
    <row r="1632" spans="1:9">
      <c r="A1632" s="1" t="s">
        <v>1630</v>
      </c>
      <c r="B1632" s="3" t="str">
        <f ca="1">IFERROR(__xludf.DUMMYFUNCTION("SPLIT(A1632,"","")"),"US")</f>
        <v>US</v>
      </c>
      <c r="C1632" s="3" t="str">
        <f ca="1">IFERROR(__xludf.DUMMYFUNCTION("""COMPUTED_VALUE"""),"Tri-College University")</f>
        <v>Tri-College University</v>
      </c>
      <c r="D1632" s="4" t="str">
        <f ca="1">IFERROR(__xludf.DUMMYFUNCTION("""COMPUTED_VALUE"""),"http://www.ndsu.nodak.edu/tricollege/")</f>
        <v>http://www.ndsu.nodak.edu/tricollege/</v>
      </c>
      <c r="G1632" s="2" t="str">
        <f t="shared" ca="1" si="0"/>
        <v>Tri-College University</v>
      </c>
      <c r="H1632" s="3" t="str">
        <f t="shared" ca="1" si="1"/>
        <v>Tri-College University</v>
      </c>
      <c r="I1632" s="3" t="str">
        <f t="shared" ca="1" si="2"/>
        <v>'Tri-College University',</v>
      </c>
    </row>
    <row r="1633" spans="1:9">
      <c r="A1633" s="1" t="s">
        <v>1631</v>
      </c>
      <c r="B1633" s="3" t="str">
        <f ca="1">IFERROR(__xludf.DUMMYFUNCTION("SPLIT(A1633,"","")"),"US")</f>
        <v>US</v>
      </c>
      <c r="C1633" s="3" t="str">
        <f ca="1">IFERROR(__xludf.DUMMYFUNCTION("""COMPUTED_VALUE"""),"Trident University")</f>
        <v>Trident University</v>
      </c>
      <c r="D1633" s="4" t="str">
        <f ca="1">IFERROR(__xludf.DUMMYFUNCTION("""COMPUTED_VALUE"""),"http://www.trident.edu/")</f>
        <v>http://www.trident.edu/</v>
      </c>
      <c r="G1633" s="2" t="str">
        <f t="shared" ca="1" si="0"/>
        <v>Trident University</v>
      </c>
      <c r="H1633" s="3" t="str">
        <f t="shared" ca="1" si="1"/>
        <v>Trident University</v>
      </c>
      <c r="I1633" s="3" t="str">
        <f t="shared" ca="1" si="2"/>
        <v>'Trident University',</v>
      </c>
    </row>
    <row r="1634" spans="1:9">
      <c r="A1634" s="1" t="s">
        <v>1632</v>
      </c>
      <c r="B1634" s="3" t="str">
        <f ca="1">IFERROR(__xludf.DUMMYFUNCTION("SPLIT(A1634,"","")"),"US")</f>
        <v>US</v>
      </c>
      <c r="C1634" s="3" t="str">
        <f ca="1">IFERROR(__xludf.DUMMYFUNCTION("""COMPUTED_VALUE"""),"Trinity Bible College")</f>
        <v>Trinity Bible College</v>
      </c>
      <c r="D1634" s="4" t="str">
        <f ca="1">IFERROR(__xludf.DUMMYFUNCTION("""COMPUTED_VALUE"""),"http://www.tbc2day.edu/")</f>
        <v>http://www.tbc2day.edu/</v>
      </c>
      <c r="G1634" s="2" t="str">
        <f t="shared" ca="1" si="0"/>
        <v>Trinity Bible College</v>
      </c>
      <c r="H1634" s="3" t="str">
        <f t="shared" ca="1" si="1"/>
        <v>Trinity Bible College</v>
      </c>
      <c r="I1634" s="3" t="str">
        <f t="shared" ca="1" si="2"/>
        <v>'Trinity Bible College',</v>
      </c>
    </row>
    <row r="1635" spans="1:9">
      <c r="A1635" s="1" t="s">
        <v>1633</v>
      </c>
      <c r="B1635" s="3" t="str">
        <f ca="1">IFERROR(__xludf.DUMMYFUNCTION("SPLIT(A1635,"","")"),"US")</f>
        <v>US</v>
      </c>
      <c r="C1635" s="3" t="str">
        <f ca="1">IFERROR(__xludf.DUMMYFUNCTION("""COMPUTED_VALUE"""),"Trinity Christian College")</f>
        <v>Trinity Christian College</v>
      </c>
      <c r="D1635" s="4" t="str">
        <f ca="1">IFERROR(__xludf.DUMMYFUNCTION("""COMPUTED_VALUE"""),"http://www.trnty.edu/")</f>
        <v>http://www.trnty.edu/</v>
      </c>
      <c r="G1635" s="2" t="str">
        <f t="shared" ca="1" si="0"/>
        <v>Trinity Christian College</v>
      </c>
      <c r="H1635" s="3" t="str">
        <f t="shared" ca="1" si="1"/>
        <v>Trinity Christian College</v>
      </c>
      <c r="I1635" s="3" t="str">
        <f t="shared" ca="1" si="2"/>
        <v>'Trinity Christian College',</v>
      </c>
    </row>
    <row r="1636" spans="1:9">
      <c r="A1636" s="1" t="s">
        <v>1634</v>
      </c>
      <c r="B1636" s="3" t="str">
        <f ca="1">IFERROR(__xludf.DUMMYFUNCTION("SPLIT(A1636,"","")"),"US")</f>
        <v>US</v>
      </c>
      <c r="C1636" s="3" t="str">
        <f ca="1">IFERROR(__xludf.DUMMYFUNCTION("""COMPUTED_VALUE"""),"Trinity College Connecticut")</f>
        <v>Trinity College Connecticut</v>
      </c>
      <c r="D1636" s="4" t="str">
        <f ca="1">IFERROR(__xludf.DUMMYFUNCTION("""COMPUTED_VALUE"""),"http://www.trincoll.edu/")</f>
        <v>http://www.trincoll.edu/</v>
      </c>
      <c r="G1636" s="2" t="str">
        <f t="shared" ca="1" si="0"/>
        <v>Trinity College Connecticut</v>
      </c>
      <c r="H1636" s="3" t="str">
        <f t="shared" ca="1" si="1"/>
        <v>Trinity College Connecticut</v>
      </c>
      <c r="I1636" s="3" t="str">
        <f t="shared" ca="1" si="2"/>
        <v>'Trinity College Connecticut',</v>
      </c>
    </row>
    <row r="1637" spans="1:9">
      <c r="A1637" s="1" t="s">
        <v>1635</v>
      </c>
      <c r="B1637" s="3" t="str">
        <f ca="1">IFERROR(__xludf.DUMMYFUNCTION("SPLIT(A1637,"","")"),"US")</f>
        <v>US</v>
      </c>
      <c r="C1637" s="3" t="str">
        <f ca="1">IFERROR(__xludf.DUMMYFUNCTION("""COMPUTED_VALUE"""),"Trinity College of Florida")</f>
        <v>Trinity College of Florida</v>
      </c>
      <c r="D1637" s="4" t="str">
        <f ca="1">IFERROR(__xludf.DUMMYFUNCTION("""COMPUTED_VALUE"""),"http://www.trinitycollege.edu/")</f>
        <v>http://www.trinitycollege.edu/</v>
      </c>
      <c r="G1637" s="2" t="str">
        <f t="shared" ca="1" si="0"/>
        <v>Trinity College of Florida</v>
      </c>
      <c r="H1637" s="3" t="str">
        <f t="shared" ca="1" si="1"/>
        <v>Trinity College of Florida</v>
      </c>
      <c r="I1637" s="3" t="str">
        <f t="shared" ca="1" si="2"/>
        <v>'Trinity College of Florida',</v>
      </c>
    </row>
    <row r="1638" spans="1:9">
      <c r="A1638" s="1" t="s">
        <v>1636</v>
      </c>
      <c r="B1638" s="3" t="str">
        <f ca="1">IFERROR(__xludf.DUMMYFUNCTION("SPLIT(A1638,"","")"),"US")</f>
        <v>US</v>
      </c>
      <c r="C1638" s="3" t="str">
        <f ca="1">IFERROR(__xludf.DUMMYFUNCTION("""COMPUTED_VALUE"""),"Trinity College of Vermont")</f>
        <v>Trinity College of Vermont</v>
      </c>
      <c r="D1638" s="4" t="str">
        <f ca="1">IFERROR(__xludf.DUMMYFUNCTION("""COMPUTED_VALUE"""),"http://www.trinityvt.edu/")</f>
        <v>http://www.trinityvt.edu/</v>
      </c>
      <c r="G1638" s="2" t="str">
        <f t="shared" ca="1" si="0"/>
        <v>Trinity College of Vermont</v>
      </c>
      <c r="H1638" s="3" t="str">
        <f t="shared" ca="1" si="1"/>
        <v>Trinity College of Vermont</v>
      </c>
      <c r="I1638" s="3" t="str">
        <f t="shared" ca="1" si="2"/>
        <v>'Trinity College of Vermont',</v>
      </c>
    </row>
    <row r="1639" spans="1:9">
      <c r="A1639" s="1" t="s">
        <v>1637</v>
      </c>
      <c r="B1639" s="3" t="str">
        <f ca="1">IFERROR(__xludf.DUMMYFUNCTION("SPLIT(A1639,"","")"),"US")</f>
        <v>US</v>
      </c>
      <c r="C1639" s="3" t="str">
        <f ca="1">IFERROR(__xludf.DUMMYFUNCTION("""COMPUTED_VALUE"""),"Trinity International University")</f>
        <v>Trinity International University</v>
      </c>
      <c r="D1639" s="4" t="str">
        <f ca="1">IFERROR(__xludf.DUMMYFUNCTION("""COMPUTED_VALUE"""),"http://www.trin.edu/")</f>
        <v>http://www.trin.edu/</v>
      </c>
      <c r="G1639" s="2" t="str">
        <f t="shared" ca="1" si="0"/>
        <v>Trinity International University</v>
      </c>
      <c r="H1639" s="3" t="str">
        <f t="shared" ca="1" si="1"/>
        <v>Trinity International University</v>
      </c>
      <c r="I1639" s="3" t="str">
        <f t="shared" ca="1" si="2"/>
        <v>'Trinity International University',</v>
      </c>
    </row>
    <row r="1640" spans="1:9">
      <c r="A1640" s="1" t="s">
        <v>1638</v>
      </c>
      <c r="B1640" s="3" t="str">
        <f ca="1">IFERROR(__xludf.DUMMYFUNCTION("SPLIT(A1640,"","")"),"US")</f>
        <v>US</v>
      </c>
      <c r="C1640" s="3" t="str">
        <f ca="1">IFERROR(__xludf.DUMMYFUNCTION("""COMPUTED_VALUE"""),"""Trinity International University (Excel)")</f>
        <v>"Trinity International University (Excel)</v>
      </c>
      <c r="D1640" s="3" t="str">
        <f ca="1">IFERROR(__xludf.DUMMYFUNCTION("""COMPUTED_VALUE""")," Miami""")</f>
        <v xml:space="preserve"> Miami"</v>
      </c>
      <c r="E1640" s="4" t="str">
        <f ca="1">IFERROR(__xludf.DUMMYFUNCTION("""COMPUTED_VALUE"""),"http://www.tiu.edu/excel/index.html")</f>
        <v>http://www.tiu.edu/excel/index.html</v>
      </c>
      <c r="G1640" s="2" t="str">
        <f t="shared" ca="1" si="0"/>
        <v>"Trinity International University (Excel)</v>
      </c>
      <c r="H1640" s="3" t="str">
        <f t="shared" ca="1" si="1"/>
        <v>Trinity International University (Excel)</v>
      </c>
      <c r="I1640" s="3" t="str">
        <f t="shared" ca="1" si="2"/>
        <v>'Trinity International University (Excel)',</v>
      </c>
    </row>
    <row r="1641" spans="1:9">
      <c r="A1641" s="1" t="s">
        <v>1639</v>
      </c>
      <c r="B1641" s="3" t="str">
        <f ca="1">IFERROR(__xludf.DUMMYFUNCTION("SPLIT(A1641,"","")"),"US")</f>
        <v>US</v>
      </c>
      <c r="C1641" s="3" t="str">
        <f ca="1">IFERROR(__xludf.DUMMYFUNCTION("""COMPUTED_VALUE"""),"Trinity University")</f>
        <v>Trinity University</v>
      </c>
      <c r="D1641" s="4" t="str">
        <f ca="1">IFERROR(__xludf.DUMMYFUNCTION("""COMPUTED_VALUE"""),"http://www.trinitydc.edu/")</f>
        <v>http://www.trinitydc.edu/</v>
      </c>
      <c r="G1641" s="2" t="str">
        <f t="shared" ca="1" si="0"/>
        <v>Trinity University</v>
      </c>
      <c r="H1641" s="3" t="str">
        <f t="shared" ca="1" si="1"/>
        <v>Trinity University</v>
      </c>
      <c r="I1641" s="3" t="str">
        <f t="shared" ca="1" si="2"/>
        <v>'Trinity University',</v>
      </c>
    </row>
    <row r="1642" spans="1:9">
      <c r="A1642" s="1" t="s">
        <v>1640</v>
      </c>
      <c r="B1642" s="3" t="str">
        <f ca="1">IFERROR(__xludf.DUMMYFUNCTION("SPLIT(A1642,"","")"),"US")</f>
        <v>US</v>
      </c>
      <c r="C1642" s="3" t="str">
        <f ca="1">IFERROR(__xludf.DUMMYFUNCTION("""COMPUTED_VALUE"""),"Trinity University")</f>
        <v>Trinity University</v>
      </c>
      <c r="D1642" s="4" t="str">
        <f ca="1">IFERROR(__xludf.DUMMYFUNCTION("""COMPUTED_VALUE"""),"http://www.trinity.edu/")</f>
        <v>http://www.trinity.edu/</v>
      </c>
      <c r="G1642" s="2" t="str">
        <f t="shared" ca="1" si="0"/>
        <v>Trinity University</v>
      </c>
      <c r="H1642" s="3" t="str">
        <f t="shared" ca="1" si="1"/>
        <v>Trinity University</v>
      </c>
      <c r="I1642" s="3" t="str">
        <f t="shared" ca="1" si="2"/>
        <v>'Trinity University',</v>
      </c>
    </row>
    <row r="1643" spans="1:9">
      <c r="A1643" s="1" t="s">
        <v>1641</v>
      </c>
      <c r="B1643" s="3" t="str">
        <f ca="1">IFERROR(__xludf.DUMMYFUNCTION("SPLIT(A1643,"","")"),"US")</f>
        <v>US</v>
      </c>
      <c r="C1643" s="3" t="str">
        <f ca="1">IFERROR(__xludf.DUMMYFUNCTION("""COMPUTED_VALUE"""),"Tri-State University")</f>
        <v>Tri-State University</v>
      </c>
      <c r="D1643" s="4" t="str">
        <f ca="1">IFERROR(__xludf.DUMMYFUNCTION("""COMPUTED_VALUE"""),"http://www.tristate.edu/")</f>
        <v>http://www.tristate.edu/</v>
      </c>
      <c r="G1643" s="2" t="str">
        <f t="shared" ca="1" si="0"/>
        <v>Tri-State University</v>
      </c>
      <c r="H1643" s="3" t="str">
        <f t="shared" ca="1" si="1"/>
        <v>Tri-State University</v>
      </c>
      <c r="I1643" s="3" t="str">
        <f t="shared" ca="1" si="2"/>
        <v>'Tri-State University',</v>
      </c>
    </row>
    <row r="1644" spans="1:9">
      <c r="A1644" s="1" t="s">
        <v>1642</v>
      </c>
      <c r="B1644" s="3" t="str">
        <f ca="1">IFERROR(__xludf.DUMMYFUNCTION("SPLIT(A1644,"","")"),"US")</f>
        <v>US</v>
      </c>
      <c r="C1644" s="3" t="str">
        <f ca="1">IFERROR(__xludf.DUMMYFUNCTION("""COMPUTED_VALUE"""),"Triton College")</f>
        <v>Triton College</v>
      </c>
      <c r="D1644" s="4" t="str">
        <f ca="1">IFERROR(__xludf.DUMMYFUNCTION("""COMPUTED_VALUE"""),"http://www.triton.cc.il.us/")</f>
        <v>http://www.triton.cc.il.us/</v>
      </c>
      <c r="G1644" s="2" t="str">
        <f t="shared" ca="1" si="0"/>
        <v>Triton College</v>
      </c>
      <c r="H1644" s="3" t="str">
        <f t="shared" ca="1" si="1"/>
        <v>Triton College</v>
      </c>
      <c r="I1644" s="3" t="str">
        <f t="shared" ca="1" si="2"/>
        <v>'Triton College',</v>
      </c>
    </row>
    <row r="1645" spans="1:9">
      <c r="A1645" s="1" t="s">
        <v>1643</v>
      </c>
      <c r="B1645" s="3" t="str">
        <f ca="1">IFERROR(__xludf.DUMMYFUNCTION("SPLIT(A1645,"","")"),"US")</f>
        <v>US</v>
      </c>
      <c r="C1645" s="3" t="str">
        <f ca="1">IFERROR(__xludf.DUMMYFUNCTION("""COMPUTED_VALUE"""),"Troy University")</f>
        <v>Troy University</v>
      </c>
      <c r="D1645" s="4" t="str">
        <f ca="1">IFERROR(__xludf.DUMMYFUNCTION("""COMPUTED_VALUE"""),"http://www.troy.edu/")</f>
        <v>http://www.troy.edu/</v>
      </c>
      <c r="G1645" s="2" t="str">
        <f t="shared" ca="1" si="0"/>
        <v>Troy University</v>
      </c>
      <c r="H1645" s="3" t="str">
        <f t="shared" ca="1" si="1"/>
        <v>Troy University</v>
      </c>
      <c r="I1645" s="3" t="str">
        <f t="shared" ca="1" si="2"/>
        <v>'Troy University',</v>
      </c>
    </row>
    <row r="1646" spans="1:9">
      <c r="A1646" s="1" t="s">
        <v>1644</v>
      </c>
      <c r="B1646" s="3" t="str">
        <f ca="1">IFERROR(__xludf.DUMMYFUNCTION("SPLIT(A1646,"","")"),"US")</f>
        <v>US</v>
      </c>
      <c r="C1646" s="3" t="str">
        <f ca="1">IFERROR(__xludf.DUMMYFUNCTION("""COMPUTED_VALUE"""),"""Troy University")</f>
        <v>"Troy University</v>
      </c>
      <c r="D1646" s="3" t="str">
        <f ca="1">IFERROR(__xludf.DUMMYFUNCTION("""COMPUTED_VALUE""")," Dothan""")</f>
        <v xml:space="preserve"> Dothan"</v>
      </c>
      <c r="E1646" s="4" t="str">
        <f ca="1">IFERROR(__xludf.DUMMYFUNCTION("""COMPUTED_VALUE"""),"http://dothan.troy.edu/")</f>
        <v>http://dothan.troy.edu/</v>
      </c>
      <c r="G1646" s="2" t="str">
        <f t="shared" ca="1" si="0"/>
        <v>"Troy University</v>
      </c>
      <c r="H1646" s="3" t="str">
        <f t="shared" ca="1" si="1"/>
        <v>Troy University</v>
      </c>
      <c r="I1646" s="3" t="str">
        <f t="shared" ca="1" si="2"/>
        <v>'Troy University',</v>
      </c>
    </row>
    <row r="1647" spans="1:9">
      <c r="A1647" s="1" t="s">
        <v>1645</v>
      </c>
      <c r="B1647" s="3" t="str">
        <f ca="1">IFERROR(__xludf.DUMMYFUNCTION("SPLIT(A1647,"","")"),"US")</f>
        <v>US</v>
      </c>
      <c r="C1647" s="3" t="str">
        <f ca="1">IFERROR(__xludf.DUMMYFUNCTION("""COMPUTED_VALUE"""),"""Troy University")</f>
        <v>"Troy University</v>
      </c>
      <c r="D1647" s="3" t="str">
        <f ca="1">IFERROR(__xludf.DUMMYFUNCTION("""COMPUTED_VALUE""")," Montgomery""")</f>
        <v xml:space="preserve"> Montgomery"</v>
      </c>
      <c r="E1647" s="4" t="str">
        <f ca="1">IFERROR(__xludf.DUMMYFUNCTION("""COMPUTED_VALUE"""),"http://montgomery.troy.edu/")</f>
        <v>http://montgomery.troy.edu/</v>
      </c>
      <c r="G1647" s="2" t="str">
        <f t="shared" ca="1" si="0"/>
        <v>"Troy University</v>
      </c>
      <c r="H1647" s="3" t="str">
        <f t="shared" ca="1" si="1"/>
        <v>Troy University</v>
      </c>
      <c r="I1647" s="3" t="str">
        <f t="shared" ca="1" si="2"/>
        <v>'Troy University',</v>
      </c>
    </row>
    <row r="1648" spans="1:9">
      <c r="A1648" s="1" t="s">
        <v>1646</v>
      </c>
      <c r="B1648" s="3" t="str">
        <f ca="1">IFERROR(__xludf.DUMMYFUNCTION("SPLIT(A1648,"","")"),"US")</f>
        <v>US</v>
      </c>
      <c r="C1648" s="3" t="str">
        <f ca="1">IFERROR(__xludf.DUMMYFUNCTION("""COMPUTED_VALUE"""),"""Troy University")</f>
        <v>"Troy University</v>
      </c>
      <c r="D1648" s="3" t="str">
        <f ca="1">IFERROR(__xludf.DUMMYFUNCTION("""COMPUTED_VALUE""")," Phenix City""")</f>
        <v xml:space="preserve"> Phenix City"</v>
      </c>
      <c r="E1648" s="4" t="str">
        <f ca="1">IFERROR(__xludf.DUMMYFUNCTION("""COMPUTED_VALUE"""),"http://phenix.troy.edu/")</f>
        <v>http://phenix.troy.edu/</v>
      </c>
      <c r="G1648" s="2" t="str">
        <f t="shared" ca="1" si="0"/>
        <v>"Troy University</v>
      </c>
      <c r="H1648" s="3" t="str">
        <f t="shared" ca="1" si="1"/>
        <v>Troy University</v>
      </c>
      <c r="I1648" s="3" t="str">
        <f t="shared" ca="1" si="2"/>
        <v>'Troy University',</v>
      </c>
    </row>
    <row r="1649" spans="1:9">
      <c r="A1649" s="1" t="s">
        <v>1647</v>
      </c>
      <c r="B1649" s="3" t="str">
        <f ca="1">IFERROR(__xludf.DUMMYFUNCTION("SPLIT(A1649,"","")"),"US")</f>
        <v>US</v>
      </c>
      <c r="C1649" s="3" t="str">
        <f ca="1">IFERROR(__xludf.DUMMYFUNCTION("""COMPUTED_VALUE"""),"""Troy University")</f>
        <v>"Troy University</v>
      </c>
      <c r="D1649" s="3" t="str">
        <f ca="1">IFERROR(__xludf.DUMMYFUNCTION("""COMPUTED_VALUE""")," Troy""")</f>
        <v xml:space="preserve"> Troy"</v>
      </c>
      <c r="E1649" s="4" t="str">
        <f ca="1">IFERROR(__xludf.DUMMYFUNCTION("""COMPUTED_VALUE"""),"http://troy.troy.edu/")</f>
        <v>http://troy.troy.edu/</v>
      </c>
      <c r="G1649" s="2" t="str">
        <f t="shared" ca="1" si="0"/>
        <v>"Troy University</v>
      </c>
      <c r="H1649" s="3" t="str">
        <f t="shared" ca="1" si="1"/>
        <v>Troy University</v>
      </c>
      <c r="I1649" s="3" t="str">
        <f t="shared" ca="1" si="2"/>
        <v>'Troy University',</v>
      </c>
    </row>
    <row r="1650" spans="1:9">
      <c r="A1650" s="1" t="s">
        <v>1648</v>
      </c>
      <c r="B1650" s="3" t="str">
        <f ca="1">IFERROR(__xludf.DUMMYFUNCTION("SPLIT(A1650,"","")"),"US")</f>
        <v>US</v>
      </c>
      <c r="C1650" s="3" t="str">
        <f ca="1">IFERROR(__xludf.DUMMYFUNCTION("""COMPUTED_VALUE"""),"Truman College")</f>
        <v>Truman College</v>
      </c>
      <c r="D1650" s="4" t="str">
        <f ca="1">IFERROR(__xludf.DUMMYFUNCTION("""COMPUTED_VALUE"""),"http://www.trumancollege.net/")</f>
        <v>http://www.trumancollege.net/</v>
      </c>
      <c r="G1650" s="2" t="str">
        <f t="shared" ca="1" si="0"/>
        <v>Truman College</v>
      </c>
      <c r="H1650" s="3" t="str">
        <f t="shared" ca="1" si="1"/>
        <v>Truman College</v>
      </c>
      <c r="I1650" s="3" t="str">
        <f t="shared" ca="1" si="2"/>
        <v>'Truman College',</v>
      </c>
    </row>
    <row r="1651" spans="1:9">
      <c r="A1651" s="1" t="s">
        <v>1649</v>
      </c>
      <c r="B1651" s="3" t="str">
        <f ca="1">IFERROR(__xludf.DUMMYFUNCTION("SPLIT(A1651,"","")"),"US")</f>
        <v>US</v>
      </c>
      <c r="C1651" s="3" t="str">
        <f ca="1">IFERROR(__xludf.DUMMYFUNCTION("""COMPUTED_VALUE"""),"Truman State University")</f>
        <v>Truman State University</v>
      </c>
      <c r="D1651" s="4" t="str">
        <f ca="1">IFERROR(__xludf.DUMMYFUNCTION("""COMPUTED_VALUE"""),"http://www.truman.edu/")</f>
        <v>http://www.truman.edu/</v>
      </c>
      <c r="G1651" s="2" t="str">
        <f t="shared" ca="1" si="0"/>
        <v>Truman State University</v>
      </c>
      <c r="H1651" s="3" t="str">
        <f t="shared" ca="1" si="1"/>
        <v>Truman State University</v>
      </c>
      <c r="I1651" s="3" t="str">
        <f t="shared" ca="1" si="2"/>
        <v>'Truman State University',</v>
      </c>
    </row>
    <row r="1652" spans="1:9">
      <c r="A1652" s="1" t="s">
        <v>1650</v>
      </c>
      <c r="B1652" s="3" t="str">
        <f ca="1">IFERROR(__xludf.DUMMYFUNCTION("SPLIT(A1652,"","")"),"US")</f>
        <v>US</v>
      </c>
      <c r="C1652" s="3" t="str">
        <f ca="1">IFERROR(__xludf.DUMMYFUNCTION("""COMPUTED_VALUE"""),"Tufts University")</f>
        <v>Tufts University</v>
      </c>
      <c r="D1652" s="4" t="str">
        <f ca="1">IFERROR(__xludf.DUMMYFUNCTION("""COMPUTED_VALUE"""),"http://www.tufts.edu/")</f>
        <v>http://www.tufts.edu/</v>
      </c>
      <c r="G1652" s="2" t="str">
        <f t="shared" ca="1" si="0"/>
        <v>Tufts University</v>
      </c>
      <c r="H1652" s="3" t="str">
        <f t="shared" ca="1" si="1"/>
        <v>Tufts University</v>
      </c>
      <c r="I1652" s="3" t="str">
        <f t="shared" ca="1" si="2"/>
        <v>'Tufts University',</v>
      </c>
    </row>
    <row r="1653" spans="1:9">
      <c r="A1653" s="1" t="s">
        <v>1651</v>
      </c>
      <c r="B1653" s="3" t="str">
        <f ca="1">IFERROR(__xludf.DUMMYFUNCTION("SPLIT(A1653,"","")"),"US")</f>
        <v>US</v>
      </c>
      <c r="C1653" s="3" t="str">
        <f ca="1">IFERROR(__xludf.DUMMYFUNCTION("""COMPUTED_VALUE"""),"Tui Online University")</f>
        <v>Tui Online University</v>
      </c>
      <c r="D1653" s="4" t="str">
        <f ca="1">IFERROR(__xludf.DUMMYFUNCTION("""COMPUTED_VALUE"""),"http://www.tuiu.edu/")</f>
        <v>http://www.tuiu.edu/</v>
      </c>
      <c r="G1653" s="2" t="str">
        <f t="shared" ca="1" si="0"/>
        <v>Tui Online University</v>
      </c>
      <c r="H1653" s="3" t="str">
        <f t="shared" ca="1" si="1"/>
        <v>Tui Online University</v>
      </c>
      <c r="I1653" s="3" t="str">
        <f t="shared" ca="1" si="2"/>
        <v>'Tui Online University',</v>
      </c>
    </row>
    <row r="1654" spans="1:9">
      <c r="A1654" s="1" t="s">
        <v>1652</v>
      </c>
      <c r="B1654" s="3" t="str">
        <f ca="1">IFERROR(__xludf.DUMMYFUNCTION("SPLIT(A1654,"","")"),"US")</f>
        <v>US</v>
      </c>
      <c r="C1654" s="3" t="str">
        <f ca="1">IFERROR(__xludf.DUMMYFUNCTION("""COMPUTED_VALUE"""),"Tusculum College")</f>
        <v>Tusculum College</v>
      </c>
      <c r="D1654" s="4" t="str">
        <f ca="1">IFERROR(__xludf.DUMMYFUNCTION("""COMPUTED_VALUE"""),"http://www.tusculum.edu/")</f>
        <v>http://www.tusculum.edu/</v>
      </c>
      <c r="G1654" s="2" t="str">
        <f t="shared" ca="1" si="0"/>
        <v>Tusculum College</v>
      </c>
      <c r="H1654" s="3" t="str">
        <f t="shared" ca="1" si="1"/>
        <v>Tusculum College</v>
      </c>
      <c r="I1654" s="3" t="str">
        <f t="shared" ca="1" si="2"/>
        <v>'Tusculum College',</v>
      </c>
    </row>
    <row r="1655" spans="1:9">
      <c r="A1655" s="1" t="s">
        <v>1653</v>
      </c>
      <c r="B1655" s="3" t="str">
        <f ca="1">IFERROR(__xludf.DUMMYFUNCTION("SPLIT(A1655,"","")"),"US")</f>
        <v>US</v>
      </c>
      <c r="C1655" s="3" t="str">
        <f ca="1">IFERROR(__xludf.DUMMYFUNCTION("""COMPUTED_VALUE"""),"Tuskegee University")</f>
        <v>Tuskegee University</v>
      </c>
      <c r="D1655" s="4" t="str">
        <f ca="1">IFERROR(__xludf.DUMMYFUNCTION("""COMPUTED_VALUE"""),"http://www.tusk.edu/")</f>
        <v>http://www.tusk.edu/</v>
      </c>
      <c r="G1655" s="2" t="str">
        <f t="shared" ca="1" si="0"/>
        <v>Tuskegee University</v>
      </c>
      <c r="H1655" s="3" t="str">
        <f t="shared" ca="1" si="1"/>
        <v>Tuskegee University</v>
      </c>
      <c r="I1655" s="3" t="str">
        <f t="shared" ca="1" si="2"/>
        <v>'Tuskegee University',</v>
      </c>
    </row>
    <row r="1656" spans="1:9">
      <c r="A1656" s="1" t="s">
        <v>1654</v>
      </c>
      <c r="B1656" s="3" t="str">
        <f ca="1">IFERROR(__xludf.DUMMYFUNCTION("SPLIT(A1656,"","")"),"US")</f>
        <v>US</v>
      </c>
      <c r="C1656" s="3" t="str">
        <f ca="1">IFERROR(__xludf.DUMMYFUNCTION("""COMPUTED_VALUE"""),"Uniformed Services Universty of the Health Sciences")</f>
        <v>Uniformed Services Universty of the Health Sciences</v>
      </c>
      <c r="D1656" s="4" t="str">
        <f ca="1">IFERROR(__xludf.DUMMYFUNCTION("""COMPUTED_VALUE"""),"http://www.usuhs.mil/")</f>
        <v>http://www.usuhs.mil/</v>
      </c>
      <c r="G1656" s="2" t="str">
        <f t="shared" ca="1" si="0"/>
        <v>Uniformed Services Universty of the Health Sciences</v>
      </c>
      <c r="H1656" s="3" t="str">
        <f t="shared" ca="1" si="1"/>
        <v>Uniformed Services Universty of the Health Sciences</v>
      </c>
      <c r="I1656" s="3" t="str">
        <f t="shared" ca="1" si="2"/>
        <v>'Uniformed Services Universty of the Health Sciences',</v>
      </c>
    </row>
    <row r="1657" spans="1:9">
      <c r="A1657" s="1" t="s">
        <v>1655</v>
      </c>
      <c r="B1657" s="3" t="str">
        <f ca="1">IFERROR(__xludf.DUMMYFUNCTION("SPLIT(A1657,"","")"),"US")</f>
        <v>US</v>
      </c>
      <c r="C1657" s="3" t="str">
        <f ca="1">IFERROR(__xludf.DUMMYFUNCTION("""COMPUTED_VALUE"""),"Union College")</f>
        <v>Union College</v>
      </c>
      <c r="D1657" s="4" t="str">
        <f ca="1">IFERROR(__xludf.DUMMYFUNCTION("""COMPUTED_VALUE"""),"http://www.union.edu/")</f>
        <v>http://www.union.edu/</v>
      </c>
      <c r="G1657" s="2" t="str">
        <f t="shared" ca="1" si="0"/>
        <v>Union College</v>
      </c>
      <c r="H1657" s="3" t="str">
        <f t="shared" ca="1" si="1"/>
        <v>Union College</v>
      </c>
      <c r="I1657" s="3" t="str">
        <f t="shared" ca="1" si="2"/>
        <v>'Union College',</v>
      </c>
    </row>
    <row r="1658" spans="1:9">
      <c r="A1658" s="1" t="s">
        <v>1656</v>
      </c>
      <c r="B1658" s="3" t="str">
        <f ca="1">IFERROR(__xludf.DUMMYFUNCTION("SPLIT(A1658,"","")"),"US")</f>
        <v>US</v>
      </c>
      <c r="C1658" s="3" t="str">
        <f ca="1">IFERROR(__xludf.DUMMYFUNCTION("""COMPUTED_VALUE"""),"Union College Kentucky")</f>
        <v>Union College Kentucky</v>
      </c>
      <c r="D1658" s="4" t="str">
        <f ca="1">IFERROR(__xludf.DUMMYFUNCTION("""COMPUTED_VALUE"""),"http://www.unionky.edu/")</f>
        <v>http://www.unionky.edu/</v>
      </c>
      <c r="G1658" s="2" t="str">
        <f t="shared" ca="1" si="0"/>
        <v>Union College Kentucky</v>
      </c>
      <c r="H1658" s="3" t="str">
        <f t="shared" ca="1" si="1"/>
        <v>Union College Kentucky</v>
      </c>
      <c r="I1658" s="3" t="str">
        <f t="shared" ca="1" si="2"/>
        <v>'Union College Kentucky',</v>
      </c>
    </row>
    <row r="1659" spans="1:9">
      <c r="A1659" s="1" t="s">
        <v>1657</v>
      </c>
      <c r="B1659" s="3" t="str">
        <f ca="1">IFERROR(__xludf.DUMMYFUNCTION("SPLIT(A1659,"","")"),"US")</f>
        <v>US</v>
      </c>
      <c r="C1659" s="3" t="str">
        <f ca="1">IFERROR(__xludf.DUMMYFUNCTION("""COMPUTED_VALUE"""),"Union College Nebraska")</f>
        <v>Union College Nebraska</v>
      </c>
      <c r="D1659" s="4" t="str">
        <f ca="1">IFERROR(__xludf.DUMMYFUNCTION("""COMPUTED_VALUE"""),"http://www.ucollege.edu/")</f>
        <v>http://www.ucollege.edu/</v>
      </c>
      <c r="G1659" s="2" t="str">
        <f t="shared" ca="1" si="0"/>
        <v>Union College Nebraska</v>
      </c>
      <c r="H1659" s="3" t="str">
        <f t="shared" ca="1" si="1"/>
        <v>Union College Nebraska</v>
      </c>
      <c r="I1659" s="3" t="str">
        <f t="shared" ca="1" si="2"/>
        <v>'Union College Nebraska',</v>
      </c>
    </row>
    <row r="1660" spans="1:9">
      <c r="A1660" s="1" t="s">
        <v>1658</v>
      </c>
      <c r="B1660" s="3" t="str">
        <f ca="1">IFERROR(__xludf.DUMMYFUNCTION("SPLIT(A1660,"","")"),"US")</f>
        <v>US</v>
      </c>
      <c r="C1660" s="3" t="str">
        <f ca="1">IFERROR(__xludf.DUMMYFUNCTION("""COMPUTED_VALUE"""),"Union Theological Seminary (UTS)")</f>
        <v>Union Theological Seminary (UTS)</v>
      </c>
      <c r="D1660" s="4" t="str">
        <f ca="1">IFERROR(__xludf.DUMMYFUNCTION("""COMPUTED_VALUE"""),"http://www.union-psce.edu/")</f>
        <v>http://www.union-psce.edu/</v>
      </c>
      <c r="G1660" s="2" t="str">
        <f t="shared" ca="1" si="0"/>
        <v>Union Theological Seminary (UTS)</v>
      </c>
      <c r="H1660" s="3" t="str">
        <f t="shared" ca="1" si="1"/>
        <v>Union Theological Seminary (UTS)</v>
      </c>
      <c r="I1660" s="3" t="str">
        <f t="shared" ca="1" si="2"/>
        <v>'Union Theological Seminary (UTS)',</v>
      </c>
    </row>
    <row r="1661" spans="1:9">
      <c r="A1661" s="1" t="s">
        <v>1659</v>
      </c>
      <c r="B1661" s="3" t="str">
        <f ca="1">IFERROR(__xludf.DUMMYFUNCTION("SPLIT(A1661,"","")"),"US")</f>
        <v>US</v>
      </c>
      <c r="C1661" s="3" t="str">
        <f ca="1">IFERROR(__xludf.DUMMYFUNCTION("""COMPUTED_VALUE"""),"Union University")</f>
        <v>Union University</v>
      </c>
      <c r="D1661" s="4" t="str">
        <f ca="1">IFERROR(__xludf.DUMMYFUNCTION("""COMPUTED_VALUE"""),"http://www.uu.edu/")</f>
        <v>http://www.uu.edu/</v>
      </c>
      <c r="G1661" s="2" t="str">
        <f t="shared" ca="1" si="0"/>
        <v>Union University</v>
      </c>
      <c r="H1661" s="3" t="str">
        <f t="shared" ca="1" si="1"/>
        <v>Union University</v>
      </c>
      <c r="I1661" s="3" t="str">
        <f t="shared" ca="1" si="2"/>
        <v>'Union University',</v>
      </c>
    </row>
    <row r="1662" spans="1:9">
      <c r="A1662" s="1" t="s">
        <v>1660</v>
      </c>
      <c r="B1662" s="3" t="str">
        <f ca="1">IFERROR(__xludf.DUMMYFUNCTION("SPLIT(A1662,"","")"),"US")</f>
        <v>US</v>
      </c>
      <c r="C1662" s="3" t="str">
        <f ca="1">IFERROR(__xludf.DUMMYFUNCTION("""COMPUTED_VALUE"""),"United States Air Force Academy")</f>
        <v>United States Air Force Academy</v>
      </c>
      <c r="D1662" s="4" t="str">
        <f ca="1">IFERROR(__xludf.DUMMYFUNCTION("""COMPUTED_VALUE"""),"http://www.usafa.af.mil/")</f>
        <v>http://www.usafa.af.mil/</v>
      </c>
      <c r="G1662" s="2" t="str">
        <f t="shared" ca="1" si="0"/>
        <v>United States Air Force Academy</v>
      </c>
      <c r="H1662" s="3" t="str">
        <f t="shared" ca="1" si="1"/>
        <v>United States Air Force Academy</v>
      </c>
      <c r="I1662" s="3" t="str">
        <f t="shared" ca="1" si="2"/>
        <v>'United States Air Force Academy',</v>
      </c>
    </row>
    <row r="1663" spans="1:9">
      <c r="A1663" s="1" t="s">
        <v>1661</v>
      </c>
      <c r="B1663" s="3" t="str">
        <f ca="1">IFERROR(__xludf.DUMMYFUNCTION("SPLIT(A1663,"","")"),"US")</f>
        <v>US</v>
      </c>
      <c r="C1663" s="3" t="str">
        <f ca="1">IFERROR(__xludf.DUMMYFUNCTION("""COMPUTED_VALUE"""),"United States Coast Guard Academy")</f>
        <v>United States Coast Guard Academy</v>
      </c>
      <c r="D1663" s="4" t="str">
        <f ca="1">IFERROR(__xludf.DUMMYFUNCTION("""COMPUTED_VALUE"""),"http://www.cga.edu/")</f>
        <v>http://www.cga.edu/</v>
      </c>
      <c r="G1663" s="2" t="str">
        <f t="shared" ca="1" si="0"/>
        <v>United States Coast Guard Academy</v>
      </c>
      <c r="H1663" s="3" t="str">
        <f t="shared" ca="1" si="1"/>
        <v>United States Coast Guard Academy</v>
      </c>
      <c r="I1663" s="3" t="str">
        <f t="shared" ca="1" si="2"/>
        <v>'United States Coast Guard Academy',</v>
      </c>
    </row>
    <row r="1664" spans="1:9">
      <c r="A1664" s="1" t="s">
        <v>1662</v>
      </c>
      <c r="B1664" s="3" t="str">
        <f ca="1">IFERROR(__xludf.DUMMYFUNCTION("SPLIT(A1664,"","")"),"US")</f>
        <v>US</v>
      </c>
      <c r="C1664" s="3" t="str">
        <f ca="1">IFERROR(__xludf.DUMMYFUNCTION("""COMPUTED_VALUE"""),"United States International University")</f>
        <v>United States International University</v>
      </c>
      <c r="D1664" s="4" t="str">
        <f ca="1">IFERROR(__xludf.DUMMYFUNCTION("""COMPUTED_VALUE"""),"http://www.usiu.edu/")</f>
        <v>http://www.usiu.edu/</v>
      </c>
      <c r="G1664" s="2" t="str">
        <f t="shared" ca="1" si="0"/>
        <v>United States International University</v>
      </c>
      <c r="H1664" s="3" t="str">
        <f t="shared" ca="1" si="1"/>
        <v>United States International University</v>
      </c>
      <c r="I1664" s="3" t="str">
        <f t="shared" ca="1" si="2"/>
        <v>'United States International University',</v>
      </c>
    </row>
    <row r="1665" spans="1:9">
      <c r="A1665" s="1" t="s">
        <v>1663</v>
      </c>
      <c r="B1665" s="3" t="str">
        <f ca="1">IFERROR(__xludf.DUMMYFUNCTION("SPLIT(A1665,"","")"),"US")</f>
        <v>US</v>
      </c>
      <c r="C1665" s="3" t="str">
        <f ca="1">IFERROR(__xludf.DUMMYFUNCTION("""COMPUTED_VALUE"""),"United States Merchant Marine Academy")</f>
        <v>United States Merchant Marine Academy</v>
      </c>
      <c r="D1665" s="4" t="str">
        <f ca="1">IFERROR(__xludf.DUMMYFUNCTION("""COMPUTED_VALUE"""),"http://www.usmma.edu/")</f>
        <v>http://www.usmma.edu/</v>
      </c>
      <c r="G1665" s="2" t="str">
        <f t="shared" ca="1" si="0"/>
        <v>United States Merchant Marine Academy</v>
      </c>
      <c r="H1665" s="3" t="str">
        <f t="shared" ca="1" si="1"/>
        <v>United States Merchant Marine Academy</v>
      </c>
      <c r="I1665" s="3" t="str">
        <f t="shared" ca="1" si="2"/>
        <v>'United States Merchant Marine Academy',</v>
      </c>
    </row>
    <row r="1666" spans="1:9">
      <c r="A1666" s="1" t="s">
        <v>1664</v>
      </c>
      <c r="B1666" s="3" t="str">
        <f ca="1">IFERROR(__xludf.DUMMYFUNCTION("SPLIT(A1666,"","")"),"US")</f>
        <v>US</v>
      </c>
      <c r="C1666" s="3" t="str">
        <f ca="1">IFERROR(__xludf.DUMMYFUNCTION("""COMPUTED_VALUE"""),"United States Military Academy")</f>
        <v>United States Military Academy</v>
      </c>
      <c r="D1666" s="4" t="str">
        <f ca="1">IFERROR(__xludf.DUMMYFUNCTION("""COMPUTED_VALUE"""),"http://www.usma.edu/")</f>
        <v>http://www.usma.edu/</v>
      </c>
      <c r="G1666" s="2" t="str">
        <f t="shared" ca="1" si="0"/>
        <v>United States Military Academy</v>
      </c>
      <c r="H1666" s="3" t="str">
        <f t="shared" ca="1" si="1"/>
        <v>United States Military Academy</v>
      </c>
      <c r="I1666" s="3" t="str">
        <f t="shared" ca="1" si="2"/>
        <v>'United States Military Academy',</v>
      </c>
    </row>
    <row r="1667" spans="1:9">
      <c r="A1667" s="1" t="s">
        <v>1665</v>
      </c>
      <c r="B1667" s="3" t="str">
        <f ca="1">IFERROR(__xludf.DUMMYFUNCTION("SPLIT(A1667,"","")"),"US")</f>
        <v>US</v>
      </c>
      <c r="C1667" s="3" t="str">
        <f ca="1">IFERROR(__xludf.DUMMYFUNCTION("""COMPUTED_VALUE"""),"United States Naval Academy")</f>
        <v>United States Naval Academy</v>
      </c>
      <c r="D1667" s="4" t="str">
        <f ca="1">IFERROR(__xludf.DUMMYFUNCTION("""COMPUTED_VALUE"""),"http://www.usna.edu/")</f>
        <v>http://www.usna.edu/</v>
      </c>
      <c r="G1667" s="2" t="str">
        <f t="shared" ca="1" si="0"/>
        <v>United States Naval Academy</v>
      </c>
      <c r="H1667" s="3" t="str">
        <f t="shared" ca="1" si="1"/>
        <v>United States Naval Academy</v>
      </c>
      <c r="I1667" s="3" t="str">
        <f t="shared" ca="1" si="2"/>
        <v>'United States Naval Academy',</v>
      </c>
    </row>
    <row r="1668" spans="1:9">
      <c r="A1668" s="1" t="s">
        <v>1666</v>
      </c>
      <c r="B1668" s="3" t="str">
        <f ca="1">IFERROR(__xludf.DUMMYFUNCTION("SPLIT(A1668,"","")"),"US")</f>
        <v>US</v>
      </c>
      <c r="C1668" s="3" t="str">
        <f ca="1">IFERROR(__xludf.DUMMYFUNCTION("""COMPUTED_VALUE"""),"United States Sports Academy")</f>
        <v>United States Sports Academy</v>
      </c>
      <c r="D1668" s="4" t="str">
        <f ca="1">IFERROR(__xludf.DUMMYFUNCTION("""COMPUTED_VALUE"""),"http://www.sport.ussa.edu/")</f>
        <v>http://www.sport.ussa.edu/</v>
      </c>
      <c r="G1668" s="2" t="str">
        <f t="shared" ca="1" si="0"/>
        <v>United States Sports Academy</v>
      </c>
      <c r="H1668" s="3" t="str">
        <f t="shared" ca="1" si="1"/>
        <v>United States Sports Academy</v>
      </c>
      <c r="I1668" s="3" t="str">
        <f t="shared" ca="1" si="2"/>
        <v>'United States Sports Academy',</v>
      </c>
    </row>
    <row r="1669" spans="1:9">
      <c r="A1669" s="1" t="s">
        <v>1667</v>
      </c>
      <c r="B1669" s="3" t="str">
        <f ca="1">IFERROR(__xludf.DUMMYFUNCTION("SPLIT(A1669,"","")"),"US")</f>
        <v>US</v>
      </c>
      <c r="C1669" s="3" t="str">
        <f ca="1">IFERROR(__xludf.DUMMYFUNCTION("""COMPUTED_VALUE"""),"Unity College")</f>
        <v>Unity College</v>
      </c>
      <c r="D1669" s="4" t="str">
        <f ca="1">IFERROR(__xludf.DUMMYFUNCTION("""COMPUTED_VALUE"""),"http://www.unity.edu/")</f>
        <v>http://www.unity.edu/</v>
      </c>
      <c r="G1669" s="2" t="str">
        <f t="shared" ca="1" si="0"/>
        <v>Unity College</v>
      </c>
      <c r="H1669" s="3" t="str">
        <f t="shared" ca="1" si="1"/>
        <v>Unity College</v>
      </c>
      <c r="I1669" s="3" t="str">
        <f t="shared" ca="1" si="2"/>
        <v>'Unity College',</v>
      </c>
    </row>
    <row r="1670" spans="1:9">
      <c r="A1670" s="1" t="s">
        <v>1668</v>
      </c>
      <c r="B1670" s="3" t="str">
        <f ca="1">IFERROR(__xludf.DUMMYFUNCTION("SPLIT(A1670,"","")"),"US")</f>
        <v>US</v>
      </c>
      <c r="C1670" s="3" t="str">
        <f ca="1">IFERROR(__xludf.DUMMYFUNCTION("""COMPUTED_VALUE"""),"University of Advancing Technology (UAT)")</f>
        <v>University of Advancing Technology (UAT)</v>
      </c>
      <c r="D1670" s="4" t="str">
        <f ca="1">IFERROR(__xludf.DUMMYFUNCTION("""COMPUTED_VALUE"""),"http://www.uat.edu/")</f>
        <v>http://www.uat.edu/</v>
      </c>
      <c r="G1670" s="2" t="str">
        <f t="shared" ca="1" si="0"/>
        <v>University of Advancing Technology (UAT)</v>
      </c>
      <c r="H1670" s="3" t="str">
        <f t="shared" ca="1" si="1"/>
        <v>University of Advancing Technology (UAT)</v>
      </c>
      <c r="I1670" s="3" t="str">
        <f t="shared" ca="1" si="2"/>
        <v>'University of Advancing Technology (UAT)',</v>
      </c>
    </row>
    <row r="1671" spans="1:9">
      <c r="A1671" s="1" t="s">
        <v>1669</v>
      </c>
      <c r="B1671" s="3" t="str">
        <f ca="1">IFERROR(__xludf.DUMMYFUNCTION("SPLIT(A1671,"","")"),"US")</f>
        <v>US</v>
      </c>
      <c r="C1671" s="3" t="str">
        <f ca="1">IFERROR(__xludf.DUMMYFUNCTION("""COMPUTED_VALUE"""),"University of Akron")</f>
        <v>University of Akron</v>
      </c>
      <c r="D1671" s="4" t="str">
        <f ca="1">IFERROR(__xludf.DUMMYFUNCTION("""COMPUTED_VALUE"""),"http://www.uakron.edu/")</f>
        <v>http://www.uakron.edu/</v>
      </c>
      <c r="G1671" s="2" t="str">
        <f t="shared" ca="1" si="0"/>
        <v>University of Akron</v>
      </c>
      <c r="H1671" s="3" t="str">
        <f t="shared" ca="1" si="1"/>
        <v>University of Akron</v>
      </c>
      <c r="I1671" s="3" t="str">
        <f t="shared" ca="1" si="2"/>
        <v>'University of Akron',</v>
      </c>
    </row>
    <row r="1672" spans="1:9">
      <c r="A1672" s="1" t="s">
        <v>1670</v>
      </c>
      <c r="B1672" s="3" t="str">
        <f ca="1">IFERROR(__xludf.DUMMYFUNCTION("SPLIT(A1672,"","")"),"US")</f>
        <v>US</v>
      </c>
      <c r="C1672" s="3" t="str">
        <f ca="1">IFERROR(__xludf.DUMMYFUNCTION("""COMPUTED_VALUE"""),"University of Alabama - Birmingham")</f>
        <v>University of Alabama - Birmingham</v>
      </c>
      <c r="D1672" s="4" t="str">
        <f ca="1">IFERROR(__xludf.DUMMYFUNCTION("""COMPUTED_VALUE"""),"http://www.uab.edu/")</f>
        <v>http://www.uab.edu/</v>
      </c>
      <c r="G1672" s="2" t="str">
        <f t="shared" ca="1" si="0"/>
        <v>University of Alabama - Birmingham</v>
      </c>
      <c r="H1672" s="3" t="str">
        <f t="shared" ca="1" si="1"/>
        <v>University of Alabama - Birmingham</v>
      </c>
      <c r="I1672" s="3" t="str">
        <f t="shared" ca="1" si="2"/>
        <v>'University of Alabama - Birmingham',</v>
      </c>
    </row>
    <row r="1673" spans="1:9">
      <c r="A1673" s="1" t="s">
        <v>1671</v>
      </c>
      <c r="B1673" s="3" t="str">
        <f ca="1">IFERROR(__xludf.DUMMYFUNCTION("SPLIT(A1673,"","")"),"US")</f>
        <v>US</v>
      </c>
      <c r="C1673" s="3" t="str">
        <f ca="1">IFERROR(__xludf.DUMMYFUNCTION("""COMPUTED_VALUE"""),"University of Alabama - Huntsville")</f>
        <v>University of Alabama - Huntsville</v>
      </c>
      <c r="D1673" s="4" t="str">
        <f ca="1">IFERROR(__xludf.DUMMYFUNCTION("""COMPUTED_VALUE"""),"http://www.uah.edu/")</f>
        <v>http://www.uah.edu/</v>
      </c>
      <c r="G1673" s="2" t="str">
        <f t="shared" ca="1" si="0"/>
        <v>University of Alabama - Huntsville</v>
      </c>
      <c r="H1673" s="3" t="str">
        <f t="shared" ca="1" si="1"/>
        <v>University of Alabama - Huntsville</v>
      </c>
      <c r="I1673" s="3" t="str">
        <f t="shared" ca="1" si="2"/>
        <v>'University of Alabama - Huntsville',</v>
      </c>
    </row>
    <row r="1674" spans="1:9">
      <c r="A1674" s="1" t="s">
        <v>1672</v>
      </c>
      <c r="B1674" s="3" t="str">
        <f ca="1">IFERROR(__xludf.DUMMYFUNCTION("SPLIT(A1674,"","")"),"US")</f>
        <v>US</v>
      </c>
      <c r="C1674" s="3" t="str">
        <f ca="1">IFERROR(__xludf.DUMMYFUNCTION("""COMPUTED_VALUE"""),"University of Alabama - Tuscaloosa")</f>
        <v>University of Alabama - Tuscaloosa</v>
      </c>
      <c r="D1674" s="4" t="str">
        <f ca="1">IFERROR(__xludf.DUMMYFUNCTION("""COMPUTED_VALUE"""),"http://www.ua.edu/")</f>
        <v>http://www.ua.edu/</v>
      </c>
      <c r="G1674" s="2" t="str">
        <f t="shared" ca="1" si="0"/>
        <v>University of Alabama - Tuscaloosa</v>
      </c>
      <c r="H1674" s="3" t="str">
        <f t="shared" ca="1" si="1"/>
        <v>University of Alabama - Tuscaloosa</v>
      </c>
      <c r="I1674" s="3" t="str">
        <f t="shared" ca="1" si="2"/>
        <v>'University of Alabama - Tuscaloosa',</v>
      </c>
    </row>
    <row r="1675" spans="1:9">
      <c r="A1675" s="1" t="s">
        <v>1673</v>
      </c>
      <c r="B1675" s="3" t="str">
        <f ca="1">IFERROR(__xludf.DUMMYFUNCTION("SPLIT(A1675,"","")"),"US")</f>
        <v>US</v>
      </c>
      <c r="C1675" s="3" t="str">
        <f ca="1">IFERROR(__xludf.DUMMYFUNCTION("""COMPUTED_VALUE"""),"University of Alanta")</f>
        <v>University of Alanta</v>
      </c>
      <c r="D1675" s="4" t="str">
        <f ca="1">IFERROR(__xludf.DUMMYFUNCTION("""COMPUTED_VALUE"""),"http://www.uofa.edu/")</f>
        <v>http://www.uofa.edu/</v>
      </c>
      <c r="G1675" s="2" t="str">
        <f t="shared" ca="1" si="0"/>
        <v>University of Alanta</v>
      </c>
      <c r="H1675" s="3" t="str">
        <f t="shared" ca="1" si="1"/>
        <v>University of Alanta</v>
      </c>
      <c r="I1675" s="3" t="str">
        <f t="shared" ca="1" si="2"/>
        <v>'University of Alanta',</v>
      </c>
    </row>
    <row r="1676" spans="1:9">
      <c r="A1676" s="1" t="s">
        <v>1674</v>
      </c>
      <c r="B1676" s="3" t="str">
        <f ca="1">IFERROR(__xludf.DUMMYFUNCTION("SPLIT(A1676,"","")"),"US")</f>
        <v>US</v>
      </c>
      <c r="C1676" s="3" t="str">
        <f ca="1">IFERROR(__xludf.DUMMYFUNCTION("""COMPUTED_VALUE"""),"University of Alaska - Anchorage")</f>
        <v>University of Alaska - Anchorage</v>
      </c>
      <c r="D1676" s="4" t="str">
        <f ca="1">IFERROR(__xludf.DUMMYFUNCTION("""COMPUTED_VALUE"""),"http://www.uaa.alaska.edu/")</f>
        <v>http://www.uaa.alaska.edu/</v>
      </c>
      <c r="G1676" s="2" t="str">
        <f t="shared" ca="1" si="0"/>
        <v>University of Alaska - Anchorage</v>
      </c>
      <c r="H1676" s="3" t="str">
        <f t="shared" ca="1" si="1"/>
        <v>University of Alaska - Anchorage</v>
      </c>
      <c r="I1676" s="3" t="str">
        <f t="shared" ca="1" si="2"/>
        <v>'University of Alaska - Anchorage',</v>
      </c>
    </row>
    <row r="1677" spans="1:9">
      <c r="A1677" s="1" t="s">
        <v>1675</v>
      </c>
      <c r="B1677" s="3" t="str">
        <f ca="1">IFERROR(__xludf.DUMMYFUNCTION("SPLIT(A1677,"","")"),"US")</f>
        <v>US</v>
      </c>
      <c r="C1677" s="3" t="str">
        <f ca="1">IFERROR(__xludf.DUMMYFUNCTION("""COMPUTED_VALUE"""),"University of Alaska - Fairbanks")</f>
        <v>University of Alaska - Fairbanks</v>
      </c>
      <c r="D1677" s="4" t="str">
        <f ca="1">IFERROR(__xludf.DUMMYFUNCTION("""COMPUTED_VALUE"""),"http://www.uaf.edu/")</f>
        <v>http://www.uaf.edu/</v>
      </c>
      <c r="G1677" s="2" t="str">
        <f t="shared" ca="1" si="0"/>
        <v>University of Alaska - Fairbanks</v>
      </c>
      <c r="H1677" s="3" t="str">
        <f t="shared" ca="1" si="1"/>
        <v>University of Alaska - Fairbanks</v>
      </c>
      <c r="I1677" s="3" t="str">
        <f t="shared" ca="1" si="2"/>
        <v>'University of Alaska - Fairbanks',</v>
      </c>
    </row>
    <row r="1678" spans="1:9">
      <c r="A1678" s="1" t="s">
        <v>1676</v>
      </c>
      <c r="B1678" s="3" t="str">
        <f ca="1">IFERROR(__xludf.DUMMYFUNCTION("SPLIT(A1678,"","")"),"US")</f>
        <v>US</v>
      </c>
      <c r="C1678" s="3" t="str">
        <f ca="1">IFERROR(__xludf.DUMMYFUNCTION("""COMPUTED_VALUE"""),"University of Alaska - Southeast")</f>
        <v>University of Alaska - Southeast</v>
      </c>
      <c r="D1678" s="4" t="str">
        <f ca="1">IFERROR(__xludf.DUMMYFUNCTION("""COMPUTED_VALUE"""),"http://www.uas.alaska.edu/")</f>
        <v>http://www.uas.alaska.edu/</v>
      </c>
      <c r="G1678" s="2" t="str">
        <f t="shared" ca="1" si="0"/>
        <v>University of Alaska - Southeast</v>
      </c>
      <c r="H1678" s="3" t="str">
        <f t="shared" ca="1" si="1"/>
        <v>University of Alaska - Southeast</v>
      </c>
      <c r="I1678" s="3" t="str">
        <f t="shared" ca="1" si="2"/>
        <v>'University of Alaska - Southeast',</v>
      </c>
    </row>
    <row r="1679" spans="1:9">
      <c r="A1679" s="1" t="s">
        <v>1677</v>
      </c>
      <c r="B1679" s="3" t="str">
        <f ca="1">IFERROR(__xludf.DUMMYFUNCTION("SPLIT(A1679,"","")"),"US")</f>
        <v>US</v>
      </c>
      <c r="C1679" s="3" t="str">
        <f ca="1">IFERROR(__xludf.DUMMYFUNCTION("""COMPUTED_VALUE"""),"University of Alaska (System)")</f>
        <v>University of Alaska (System)</v>
      </c>
      <c r="D1679" s="4" t="str">
        <f ca="1">IFERROR(__xludf.DUMMYFUNCTION("""COMPUTED_VALUE"""),"http://www.alaska.edu/")</f>
        <v>http://www.alaska.edu/</v>
      </c>
      <c r="G1679" s="2" t="str">
        <f t="shared" ca="1" si="0"/>
        <v>University of Alaska (System)</v>
      </c>
      <c r="H1679" s="3" t="str">
        <f t="shared" ca="1" si="1"/>
        <v>University of Alaska (System)</v>
      </c>
      <c r="I1679" s="3" t="str">
        <f t="shared" ca="1" si="2"/>
        <v>'University of Alaska (System)',</v>
      </c>
    </row>
    <row r="1680" spans="1:9">
      <c r="A1680" s="1" t="s">
        <v>1678</v>
      </c>
      <c r="B1680" s="3" t="str">
        <f ca="1">IFERROR(__xludf.DUMMYFUNCTION("SPLIT(A1680,"","")"),"US")</f>
        <v>US</v>
      </c>
      <c r="C1680" s="3" t="str">
        <f ca="1">IFERROR(__xludf.DUMMYFUNCTION("""COMPUTED_VALUE"""),"University of Arizona")</f>
        <v>University of Arizona</v>
      </c>
      <c r="D1680" s="4" t="str">
        <f ca="1">IFERROR(__xludf.DUMMYFUNCTION("""COMPUTED_VALUE"""),"http://www.arizona.edu/")</f>
        <v>http://www.arizona.edu/</v>
      </c>
      <c r="G1680" s="2" t="str">
        <f t="shared" ca="1" si="0"/>
        <v>University of Arizona</v>
      </c>
      <c r="H1680" s="3" t="str">
        <f t="shared" ca="1" si="1"/>
        <v>University of Arizona</v>
      </c>
      <c r="I1680" s="3" t="str">
        <f t="shared" ca="1" si="2"/>
        <v>'University of Arizona',</v>
      </c>
    </row>
    <row r="1681" spans="1:9">
      <c r="A1681" s="1" t="s">
        <v>1679</v>
      </c>
      <c r="B1681" s="3" t="str">
        <f ca="1">IFERROR(__xludf.DUMMYFUNCTION("SPLIT(A1681,"","")"),"US")</f>
        <v>US</v>
      </c>
      <c r="C1681" s="3" t="str">
        <f ca="1">IFERROR(__xludf.DUMMYFUNCTION("""COMPUTED_VALUE"""),"University of Arkansas at Fayetteville")</f>
        <v>University of Arkansas at Fayetteville</v>
      </c>
      <c r="D1681" s="4" t="str">
        <f ca="1">IFERROR(__xludf.DUMMYFUNCTION("""COMPUTED_VALUE"""),"http://www.uark.edu/")</f>
        <v>http://www.uark.edu/</v>
      </c>
      <c r="G1681" s="2" t="str">
        <f t="shared" ca="1" si="0"/>
        <v>University of Arkansas at Fayetteville</v>
      </c>
      <c r="H1681" s="3" t="str">
        <f t="shared" ca="1" si="1"/>
        <v>University of Arkansas at Fayetteville</v>
      </c>
      <c r="I1681" s="3" t="str">
        <f t="shared" ca="1" si="2"/>
        <v>'University of Arkansas at Fayetteville',</v>
      </c>
    </row>
    <row r="1682" spans="1:9">
      <c r="A1682" s="1" t="s">
        <v>1680</v>
      </c>
      <c r="B1682" s="3" t="str">
        <f ca="1">IFERROR(__xludf.DUMMYFUNCTION("SPLIT(A1682,"","")"),"US")</f>
        <v>US</v>
      </c>
      <c r="C1682" s="3" t="str">
        <f ca="1">IFERROR(__xludf.DUMMYFUNCTION("""COMPUTED_VALUE"""),"University of Arkansas at Little Rock")</f>
        <v>University of Arkansas at Little Rock</v>
      </c>
      <c r="D1682" s="4" t="str">
        <f ca="1">IFERROR(__xludf.DUMMYFUNCTION("""COMPUTED_VALUE"""),"http://www.ualr.edu/")</f>
        <v>http://www.ualr.edu/</v>
      </c>
      <c r="G1682" s="2" t="str">
        <f t="shared" ca="1" si="0"/>
        <v>University of Arkansas at Little Rock</v>
      </c>
      <c r="H1682" s="3" t="str">
        <f t="shared" ca="1" si="1"/>
        <v>University of Arkansas at Little Rock</v>
      </c>
      <c r="I1682" s="3" t="str">
        <f t="shared" ca="1" si="2"/>
        <v>'University of Arkansas at Little Rock',</v>
      </c>
    </row>
    <row r="1683" spans="1:9">
      <c r="A1683" s="1" t="s">
        <v>1681</v>
      </c>
      <c r="B1683" s="3" t="str">
        <f ca="1">IFERROR(__xludf.DUMMYFUNCTION("SPLIT(A1683,"","")"),"US")</f>
        <v>US</v>
      </c>
      <c r="C1683" s="3" t="str">
        <f ca="1">IFERROR(__xludf.DUMMYFUNCTION("""COMPUTED_VALUE"""),"University of Arkansas at Monticello")</f>
        <v>University of Arkansas at Monticello</v>
      </c>
      <c r="D1683" s="4" t="str">
        <f ca="1">IFERROR(__xludf.DUMMYFUNCTION("""COMPUTED_VALUE"""),"http://www.uamont.edu/")</f>
        <v>http://www.uamont.edu/</v>
      </c>
      <c r="G1683" s="2" t="str">
        <f t="shared" ca="1" si="0"/>
        <v>University of Arkansas at Monticello</v>
      </c>
      <c r="H1683" s="3" t="str">
        <f t="shared" ca="1" si="1"/>
        <v>University of Arkansas at Monticello</v>
      </c>
      <c r="I1683" s="3" t="str">
        <f t="shared" ca="1" si="2"/>
        <v>'University of Arkansas at Monticello',</v>
      </c>
    </row>
    <row r="1684" spans="1:9">
      <c r="A1684" s="1" t="s">
        <v>1682</v>
      </c>
      <c r="B1684" s="3" t="str">
        <f ca="1">IFERROR(__xludf.DUMMYFUNCTION("SPLIT(A1684,"","")"),"US")</f>
        <v>US</v>
      </c>
      <c r="C1684" s="3" t="str">
        <f ca="1">IFERROR(__xludf.DUMMYFUNCTION("""COMPUTED_VALUE"""),"University of Arkansas at Pine Bluff")</f>
        <v>University of Arkansas at Pine Bluff</v>
      </c>
      <c r="D1684" s="4" t="str">
        <f ca="1">IFERROR(__xludf.DUMMYFUNCTION("""COMPUTED_VALUE"""),"http://www.uapb.edu/")</f>
        <v>http://www.uapb.edu/</v>
      </c>
      <c r="G1684" s="2" t="str">
        <f t="shared" ca="1" si="0"/>
        <v>University of Arkansas at Pine Bluff</v>
      </c>
      <c r="H1684" s="3" t="str">
        <f t="shared" ca="1" si="1"/>
        <v>University of Arkansas at Pine Bluff</v>
      </c>
      <c r="I1684" s="3" t="str">
        <f t="shared" ca="1" si="2"/>
        <v>'University of Arkansas at Pine Bluff',</v>
      </c>
    </row>
    <row r="1685" spans="1:9">
      <c r="A1685" s="1" t="s">
        <v>1683</v>
      </c>
      <c r="B1685" s="3" t="str">
        <f ca="1">IFERROR(__xludf.DUMMYFUNCTION("SPLIT(A1685,"","")"),"US")</f>
        <v>US</v>
      </c>
      <c r="C1685" s="3" t="str">
        <f ca="1">IFERROR(__xludf.DUMMYFUNCTION("""COMPUTED_VALUE"""),"University of Arkansas for Medical Sciences")</f>
        <v>University of Arkansas for Medical Sciences</v>
      </c>
      <c r="D1685" s="4" t="str">
        <f ca="1">IFERROR(__xludf.DUMMYFUNCTION("""COMPUTED_VALUE"""),"http://www.uams.edu/")</f>
        <v>http://www.uams.edu/</v>
      </c>
      <c r="G1685" s="2" t="str">
        <f t="shared" ca="1" si="0"/>
        <v>University of Arkansas for Medical Sciences</v>
      </c>
      <c r="H1685" s="3" t="str">
        <f t="shared" ca="1" si="1"/>
        <v>University of Arkansas for Medical Sciences</v>
      </c>
      <c r="I1685" s="3" t="str">
        <f t="shared" ca="1" si="2"/>
        <v>'University of Arkansas for Medical Sciences',</v>
      </c>
    </row>
    <row r="1686" spans="1:9">
      <c r="A1686" s="1" t="s">
        <v>1684</v>
      </c>
      <c r="B1686" s="3" t="str">
        <f ca="1">IFERROR(__xludf.DUMMYFUNCTION("SPLIT(A1686,"","")"),"US")</f>
        <v>US</v>
      </c>
      <c r="C1686" s="3" t="str">
        <f ca="1">IFERROR(__xludf.DUMMYFUNCTION("""COMPUTED_VALUE"""),"University of Arkansas (System)")</f>
        <v>University of Arkansas (System)</v>
      </c>
      <c r="D1686" s="4" t="str">
        <f ca="1">IFERROR(__xludf.DUMMYFUNCTION("""COMPUTED_VALUE"""),"http://www.uasys.edu/")</f>
        <v>http://www.uasys.edu/</v>
      </c>
      <c r="G1686" s="2" t="str">
        <f t="shared" ca="1" si="0"/>
        <v>University of Arkansas (System)</v>
      </c>
      <c r="H1686" s="3" t="str">
        <f t="shared" ca="1" si="1"/>
        <v>University of Arkansas (System)</v>
      </c>
      <c r="I1686" s="3" t="str">
        <f t="shared" ca="1" si="2"/>
        <v>'University of Arkansas (System)',</v>
      </c>
    </row>
    <row r="1687" spans="1:9">
      <c r="A1687" s="1" t="s">
        <v>1685</v>
      </c>
      <c r="B1687" s="3" t="str">
        <f ca="1">IFERROR(__xludf.DUMMYFUNCTION("SPLIT(A1687,"","")"),"US")</f>
        <v>US</v>
      </c>
      <c r="C1687" s="3" t="str">
        <f ca="1">IFERROR(__xludf.DUMMYFUNCTION("""COMPUTED_VALUE"""),"University of Baltimore")</f>
        <v>University of Baltimore</v>
      </c>
      <c r="D1687" s="4" t="str">
        <f ca="1">IFERROR(__xludf.DUMMYFUNCTION("""COMPUTED_VALUE"""),"http://www.ubalt.edu/")</f>
        <v>http://www.ubalt.edu/</v>
      </c>
      <c r="G1687" s="2" t="str">
        <f t="shared" ca="1" si="0"/>
        <v>University of Baltimore</v>
      </c>
      <c r="H1687" s="3" t="str">
        <f t="shared" ca="1" si="1"/>
        <v>University of Baltimore</v>
      </c>
      <c r="I1687" s="3" t="str">
        <f t="shared" ca="1" si="2"/>
        <v>'University of Baltimore',</v>
      </c>
    </row>
    <row r="1688" spans="1:9">
      <c r="A1688" s="1" t="s">
        <v>1686</v>
      </c>
      <c r="B1688" s="3" t="str">
        <f ca="1">IFERROR(__xludf.DUMMYFUNCTION("SPLIT(A1688,"","")"),"US")</f>
        <v>US</v>
      </c>
      <c r="C1688" s="3" t="str">
        <f ca="1">IFERROR(__xludf.DUMMYFUNCTION("""COMPUTED_VALUE"""),"University of Bridgeport")</f>
        <v>University of Bridgeport</v>
      </c>
      <c r="D1688" s="4" t="str">
        <f ca="1">IFERROR(__xludf.DUMMYFUNCTION("""COMPUTED_VALUE"""),"http://www.bridgeport.edu/")</f>
        <v>http://www.bridgeport.edu/</v>
      </c>
      <c r="G1688" s="2" t="str">
        <f t="shared" ca="1" si="0"/>
        <v>University of Bridgeport</v>
      </c>
      <c r="H1688" s="3" t="str">
        <f t="shared" ca="1" si="1"/>
        <v>University of Bridgeport</v>
      </c>
      <c r="I1688" s="3" t="str">
        <f t="shared" ca="1" si="2"/>
        <v>'University of Bridgeport',</v>
      </c>
    </row>
    <row r="1689" spans="1:9">
      <c r="A1689" s="1" t="s">
        <v>1687</v>
      </c>
      <c r="B1689" s="3" t="str">
        <f ca="1">IFERROR(__xludf.DUMMYFUNCTION("SPLIT(A1689,"","")"),"US")</f>
        <v>US</v>
      </c>
      <c r="C1689" s="3" t="str">
        <f ca="1">IFERROR(__xludf.DUMMYFUNCTION("""COMPUTED_VALUE"""),"""University of California")</f>
        <v>"University of California</v>
      </c>
      <c r="D1689" s="3" t="str">
        <f ca="1">IFERROR(__xludf.DUMMYFUNCTION("""COMPUTED_VALUE""")," Berkeley""")</f>
        <v xml:space="preserve"> Berkeley"</v>
      </c>
      <c r="E1689" s="4" t="str">
        <f ca="1">IFERROR(__xludf.DUMMYFUNCTION("""COMPUTED_VALUE"""),"http://www.berkeley.edu/")</f>
        <v>http://www.berkeley.edu/</v>
      </c>
      <c r="G1689" s="2" t="str">
        <f t="shared" ca="1" si="0"/>
        <v>"University of California</v>
      </c>
      <c r="H1689" s="3" t="str">
        <f t="shared" ca="1" si="1"/>
        <v>University of California</v>
      </c>
      <c r="I1689" s="3" t="str">
        <f t="shared" ca="1" si="2"/>
        <v>'University of California',</v>
      </c>
    </row>
    <row r="1690" spans="1:9">
      <c r="A1690" s="1" t="s">
        <v>1688</v>
      </c>
      <c r="B1690" s="3" t="str">
        <f ca="1">IFERROR(__xludf.DUMMYFUNCTION("SPLIT(A1690,"","")"),"US")</f>
        <v>US</v>
      </c>
      <c r="C1690" s="3" t="str">
        <f ca="1">IFERROR(__xludf.DUMMYFUNCTION("""COMPUTED_VALUE"""),"""University of California")</f>
        <v>"University of California</v>
      </c>
      <c r="D1690" s="3" t="str">
        <f ca="1">IFERROR(__xludf.DUMMYFUNCTION("""COMPUTED_VALUE""")," Davis""")</f>
        <v xml:space="preserve"> Davis"</v>
      </c>
      <c r="E1690" s="4" t="str">
        <f ca="1">IFERROR(__xludf.DUMMYFUNCTION("""COMPUTED_VALUE"""),"http://www.ucdavis.edu/")</f>
        <v>http://www.ucdavis.edu/</v>
      </c>
      <c r="G1690" s="2" t="str">
        <f t="shared" ca="1" si="0"/>
        <v>"University of California</v>
      </c>
      <c r="H1690" s="3" t="str">
        <f t="shared" ca="1" si="1"/>
        <v>University of California</v>
      </c>
      <c r="I1690" s="3" t="str">
        <f t="shared" ca="1" si="2"/>
        <v>'University of California',</v>
      </c>
    </row>
    <row r="1691" spans="1:9">
      <c r="A1691" s="1" t="s">
        <v>1689</v>
      </c>
      <c r="B1691" s="3" t="str">
        <f ca="1">IFERROR(__xludf.DUMMYFUNCTION("SPLIT(A1691,"","")"),"US")</f>
        <v>US</v>
      </c>
      <c r="C1691" s="3" t="str">
        <f ca="1">IFERROR(__xludf.DUMMYFUNCTION("""COMPUTED_VALUE"""),"""University of California")</f>
        <v>"University of California</v>
      </c>
      <c r="D1691" s="3" t="str">
        <f ca="1">IFERROR(__xludf.DUMMYFUNCTION("""COMPUTED_VALUE""")," Hastings College of Law""")</f>
        <v xml:space="preserve"> Hastings College of Law"</v>
      </c>
      <c r="E1691" s="4" t="str">
        <f ca="1">IFERROR(__xludf.DUMMYFUNCTION("""COMPUTED_VALUE"""),"http://www.uchastings.edu/")</f>
        <v>http://www.uchastings.edu/</v>
      </c>
      <c r="G1691" s="2" t="str">
        <f t="shared" ca="1" si="0"/>
        <v>"University of California</v>
      </c>
      <c r="H1691" s="3" t="str">
        <f t="shared" ca="1" si="1"/>
        <v>University of California</v>
      </c>
      <c r="I1691" s="3" t="str">
        <f t="shared" ca="1" si="2"/>
        <v>'University of California',</v>
      </c>
    </row>
    <row r="1692" spans="1:9">
      <c r="A1692" s="1" t="s">
        <v>1690</v>
      </c>
      <c r="B1692" s="3" t="str">
        <f ca="1">IFERROR(__xludf.DUMMYFUNCTION("SPLIT(A1692,"","")"),"US")</f>
        <v>US</v>
      </c>
      <c r="C1692" s="3" t="str">
        <f ca="1">IFERROR(__xludf.DUMMYFUNCTION("""COMPUTED_VALUE"""),"""University of California")</f>
        <v>"University of California</v>
      </c>
      <c r="D1692" s="3" t="str">
        <f ca="1">IFERROR(__xludf.DUMMYFUNCTION("""COMPUTED_VALUE""")," Irvine""")</f>
        <v xml:space="preserve"> Irvine"</v>
      </c>
      <c r="E1692" s="4" t="str">
        <f ca="1">IFERROR(__xludf.DUMMYFUNCTION("""COMPUTED_VALUE"""),"http://www.uci.edu/")</f>
        <v>http://www.uci.edu/</v>
      </c>
      <c r="G1692" s="2" t="str">
        <f t="shared" ca="1" si="0"/>
        <v>"University of California</v>
      </c>
      <c r="H1692" s="3" t="str">
        <f t="shared" ca="1" si="1"/>
        <v>University of California</v>
      </c>
      <c r="I1692" s="3" t="str">
        <f t="shared" ca="1" si="2"/>
        <v>'University of California',</v>
      </c>
    </row>
    <row r="1693" spans="1:9">
      <c r="A1693" s="1" t="s">
        <v>1691</v>
      </c>
      <c r="B1693" s="3" t="str">
        <f ca="1">IFERROR(__xludf.DUMMYFUNCTION("SPLIT(A1693,"","")"),"US")</f>
        <v>US</v>
      </c>
      <c r="C1693" s="3" t="str">
        <f ca="1">IFERROR(__xludf.DUMMYFUNCTION("""COMPUTED_VALUE"""),"""University of California")</f>
        <v>"University of California</v>
      </c>
      <c r="D1693" s="3" t="str">
        <f ca="1">IFERROR(__xludf.DUMMYFUNCTION("""COMPUTED_VALUE""")," Los Angeles""")</f>
        <v xml:space="preserve"> Los Angeles"</v>
      </c>
      <c r="E1693" s="4" t="str">
        <f ca="1">IFERROR(__xludf.DUMMYFUNCTION("""COMPUTED_VALUE"""),"http://www.ucla.edu/")</f>
        <v>http://www.ucla.edu/</v>
      </c>
      <c r="G1693" s="2" t="str">
        <f t="shared" ca="1" si="0"/>
        <v>"University of California</v>
      </c>
      <c r="H1693" s="3" t="str">
        <f t="shared" ca="1" si="1"/>
        <v>University of California</v>
      </c>
      <c r="I1693" s="3" t="str">
        <f t="shared" ca="1" si="2"/>
        <v>'University of California',</v>
      </c>
    </row>
    <row r="1694" spans="1:9">
      <c r="A1694" s="1" t="s">
        <v>1692</v>
      </c>
      <c r="B1694" s="3" t="str">
        <f ca="1">IFERROR(__xludf.DUMMYFUNCTION("SPLIT(A1694,"","")"),"US")</f>
        <v>US</v>
      </c>
      <c r="C1694" s="3" t="str">
        <f ca="1">IFERROR(__xludf.DUMMYFUNCTION("""COMPUTED_VALUE"""),"""University of California")</f>
        <v>"University of California</v>
      </c>
      <c r="D1694" s="3" t="str">
        <f ca="1">IFERROR(__xludf.DUMMYFUNCTION("""COMPUTED_VALUE""")," Merced""")</f>
        <v xml:space="preserve"> Merced"</v>
      </c>
      <c r="E1694" s="4" t="str">
        <f ca="1">IFERROR(__xludf.DUMMYFUNCTION("""COMPUTED_VALUE"""),"http://www.ucmerced.edu/")</f>
        <v>http://www.ucmerced.edu/</v>
      </c>
      <c r="G1694" s="2" t="str">
        <f t="shared" ca="1" si="0"/>
        <v>"University of California</v>
      </c>
      <c r="H1694" s="3" t="str">
        <f t="shared" ca="1" si="1"/>
        <v>University of California</v>
      </c>
      <c r="I1694" s="3" t="str">
        <f t="shared" ca="1" si="2"/>
        <v>'University of California',</v>
      </c>
    </row>
    <row r="1695" spans="1:9">
      <c r="A1695" s="1" t="s">
        <v>1693</v>
      </c>
      <c r="B1695" s="3" t="str">
        <f ca="1">IFERROR(__xludf.DUMMYFUNCTION("SPLIT(A1695,"","")"),"US")</f>
        <v>US</v>
      </c>
      <c r="C1695" s="3" t="str">
        <f ca="1">IFERROR(__xludf.DUMMYFUNCTION("""COMPUTED_VALUE"""),"""University of California")</f>
        <v>"University of California</v>
      </c>
      <c r="D1695" s="3" t="str">
        <f ca="1">IFERROR(__xludf.DUMMYFUNCTION("""COMPUTED_VALUE""")," Oakland""")</f>
        <v xml:space="preserve"> Oakland"</v>
      </c>
      <c r="E1695" s="4" t="str">
        <f ca="1">IFERROR(__xludf.DUMMYFUNCTION("""COMPUTED_VALUE"""),"http://www.ucop.edu/")</f>
        <v>http://www.ucop.edu/</v>
      </c>
      <c r="G1695" s="2" t="str">
        <f t="shared" ca="1" si="0"/>
        <v>"University of California</v>
      </c>
      <c r="H1695" s="3" t="str">
        <f t="shared" ca="1" si="1"/>
        <v>University of California</v>
      </c>
      <c r="I1695" s="3" t="str">
        <f t="shared" ca="1" si="2"/>
        <v>'University of California',</v>
      </c>
    </row>
    <row r="1696" spans="1:9">
      <c r="A1696" s="1" t="s">
        <v>1694</v>
      </c>
      <c r="B1696" s="3" t="str">
        <f ca="1">IFERROR(__xludf.DUMMYFUNCTION("SPLIT(A1696,"","")"),"US")</f>
        <v>US</v>
      </c>
      <c r="C1696" s="3" t="str">
        <f ca="1">IFERROR(__xludf.DUMMYFUNCTION("""COMPUTED_VALUE"""),"""University of California")</f>
        <v>"University of California</v>
      </c>
      <c r="D1696" s="3" t="str">
        <f ca="1">IFERROR(__xludf.DUMMYFUNCTION("""COMPUTED_VALUE""")," Riverside""")</f>
        <v xml:space="preserve"> Riverside"</v>
      </c>
      <c r="E1696" s="4" t="str">
        <f ca="1">IFERROR(__xludf.DUMMYFUNCTION("""COMPUTED_VALUE"""),"http://www.ucr.edu/")</f>
        <v>http://www.ucr.edu/</v>
      </c>
      <c r="G1696" s="2" t="str">
        <f t="shared" ca="1" si="0"/>
        <v>"University of California</v>
      </c>
      <c r="H1696" s="3" t="str">
        <f t="shared" ca="1" si="1"/>
        <v>University of California</v>
      </c>
      <c r="I1696" s="3" t="str">
        <f t="shared" ca="1" si="2"/>
        <v>'University of California',</v>
      </c>
    </row>
    <row r="1697" spans="1:9">
      <c r="A1697" s="1" t="s">
        <v>1695</v>
      </c>
      <c r="B1697" s="3" t="str">
        <f ca="1">IFERROR(__xludf.DUMMYFUNCTION("SPLIT(A1697,"","")"),"US")</f>
        <v>US</v>
      </c>
      <c r="C1697" s="3" t="str">
        <f ca="1">IFERROR(__xludf.DUMMYFUNCTION("""COMPUTED_VALUE"""),"""University of California")</f>
        <v>"University of California</v>
      </c>
      <c r="D1697" s="3" t="str">
        <f ca="1">IFERROR(__xludf.DUMMYFUNCTION("""COMPUTED_VALUE""")," San Diego""")</f>
        <v xml:space="preserve"> San Diego"</v>
      </c>
      <c r="E1697" s="4" t="str">
        <f ca="1">IFERROR(__xludf.DUMMYFUNCTION("""COMPUTED_VALUE"""),"http://www.ucsd.edu/")</f>
        <v>http://www.ucsd.edu/</v>
      </c>
      <c r="G1697" s="2" t="str">
        <f t="shared" ca="1" si="0"/>
        <v>"University of California</v>
      </c>
      <c r="H1697" s="3" t="str">
        <f t="shared" ca="1" si="1"/>
        <v>University of California</v>
      </c>
      <c r="I1697" s="3" t="str">
        <f t="shared" ca="1" si="2"/>
        <v>'University of California',</v>
      </c>
    </row>
    <row r="1698" spans="1:9">
      <c r="A1698" s="1" t="s">
        <v>1696</v>
      </c>
      <c r="B1698" s="3" t="str">
        <f ca="1">IFERROR(__xludf.DUMMYFUNCTION("SPLIT(A1698,"","")"),"US")</f>
        <v>US</v>
      </c>
      <c r="C1698" s="3" t="str">
        <f ca="1">IFERROR(__xludf.DUMMYFUNCTION("""COMPUTED_VALUE"""),"""University of California")</f>
        <v>"University of California</v>
      </c>
      <c r="D1698" s="3" t="str">
        <f ca="1">IFERROR(__xludf.DUMMYFUNCTION("""COMPUTED_VALUE""")," San Francisco""")</f>
        <v xml:space="preserve"> San Francisco"</v>
      </c>
      <c r="E1698" s="4" t="str">
        <f ca="1">IFERROR(__xludf.DUMMYFUNCTION("""COMPUTED_VALUE"""),"http://www.ucsf.edu/")</f>
        <v>http://www.ucsf.edu/</v>
      </c>
      <c r="G1698" s="2" t="str">
        <f t="shared" ca="1" si="0"/>
        <v>"University of California</v>
      </c>
      <c r="H1698" s="3" t="str">
        <f t="shared" ca="1" si="1"/>
        <v>University of California</v>
      </c>
      <c r="I1698" s="3" t="str">
        <f t="shared" ca="1" si="2"/>
        <v>'University of California',</v>
      </c>
    </row>
    <row r="1699" spans="1:9">
      <c r="A1699" s="1" t="s">
        <v>1697</v>
      </c>
      <c r="B1699" s="3" t="str">
        <f ca="1">IFERROR(__xludf.DUMMYFUNCTION("SPLIT(A1699,"","")"),"US")</f>
        <v>US</v>
      </c>
      <c r="C1699" s="3" t="str">
        <f ca="1">IFERROR(__xludf.DUMMYFUNCTION("""COMPUTED_VALUE"""),"""University of California")</f>
        <v>"University of California</v>
      </c>
      <c r="D1699" s="3" t="str">
        <f ca="1">IFERROR(__xludf.DUMMYFUNCTION("""COMPUTED_VALUE""")," Santa Barbara""")</f>
        <v xml:space="preserve"> Santa Barbara"</v>
      </c>
      <c r="E1699" s="4" t="str">
        <f ca="1">IFERROR(__xludf.DUMMYFUNCTION("""COMPUTED_VALUE"""),"http://www.ucsb.edu/")</f>
        <v>http://www.ucsb.edu/</v>
      </c>
      <c r="G1699" s="2" t="str">
        <f t="shared" ca="1" si="0"/>
        <v>"University of California</v>
      </c>
      <c r="H1699" s="3" t="str">
        <f t="shared" ca="1" si="1"/>
        <v>University of California</v>
      </c>
      <c r="I1699" s="3" t="str">
        <f t="shared" ca="1" si="2"/>
        <v>'University of California',</v>
      </c>
    </row>
    <row r="1700" spans="1:9">
      <c r="A1700" s="1" t="s">
        <v>1698</v>
      </c>
      <c r="B1700" s="3" t="str">
        <f ca="1">IFERROR(__xludf.DUMMYFUNCTION("SPLIT(A1700,"","")"),"US")</f>
        <v>US</v>
      </c>
      <c r="C1700" s="3" t="str">
        <f ca="1">IFERROR(__xludf.DUMMYFUNCTION("""COMPUTED_VALUE"""),"""University of California")</f>
        <v>"University of California</v>
      </c>
      <c r="D1700" s="3" t="str">
        <f ca="1">IFERROR(__xludf.DUMMYFUNCTION("""COMPUTED_VALUE""")," Santa Cruz""")</f>
        <v xml:space="preserve"> Santa Cruz"</v>
      </c>
      <c r="E1700" s="4" t="str">
        <f ca="1">IFERROR(__xludf.DUMMYFUNCTION("""COMPUTED_VALUE"""),"http://www.ucsc.edu/")</f>
        <v>http://www.ucsc.edu/</v>
      </c>
      <c r="G1700" s="2" t="str">
        <f t="shared" ca="1" si="0"/>
        <v>"University of California</v>
      </c>
      <c r="H1700" s="3" t="str">
        <f t="shared" ca="1" si="1"/>
        <v>University of California</v>
      </c>
      <c r="I1700" s="3" t="str">
        <f t="shared" ca="1" si="2"/>
        <v>'University of California',</v>
      </c>
    </row>
    <row r="1701" spans="1:9">
      <c r="A1701" s="1" t="s">
        <v>1699</v>
      </c>
      <c r="B1701" s="3" t="str">
        <f ca="1">IFERROR(__xludf.DUMMYFUNCTION("SPLIT(A1701,"","")"),"US")</f>
        <v>US</v>
      </c>
      <c r="C1701" s="3" t="str">
        <f ca="1">IFERROR(__xludf.DUMMYFUNCTION("""COMPUTED_VALUE"""),"University of California System")</f>
        <v>University of California System</v>
      </c>
      <c r="D1701" s="4" t="str">
        <f ca="1">IFERROR(__xludf.DUMMYFUNCTION("""COMPUTED_VALUE"""),"http://www.universityofcalifornia.edu/")</f>
        <v>http://www.universityofcalifornia.edu/</v>
      </c>
      <c r="G1701" s="2" t="str">
        <f t="shared" ca="1" si="0"/>
        <v>University of California System</v>
      </c>
      <c r="H1701" s="3" t="str">
        <f t="shared" ca="1" si="1"/>
        <v>University of California System</v>
      </c>
      <c r="I1701" s="3" t="str">
        <f t="shared" ca="1" si="2"/>
        <v>'University of California System',</v>
      </c>
    </row>
    <row r="1702" spans="1:9">
      <c r="A1702" s="1" t="s">
        <v>1700</v>
      </c>
      <c r="B1702" s="3" t="str">
        <f ca="1">IFERROR(__xludf.DUMMYFUNCTION("SPLIT(A1702,"","")"),"US")</f>
        <v>US</v>
      </c>
      <c r="C1702" s="3" t="str">
        <f ca="1">IFERROR(__xludf.DUMMYFUNCTION("""COMPUTED_VALUE"""),"University of Central Arkansas")</f>
        <v>University of Central Arkansas</v>
      </c>
      <c r="D1702" s="4" t="str">
        <f ca="1">IFERROR(__xludf.DUMMYFUNCTION("""COMPUTED_VALUE"""),"http://www.uca.edu/")</f>
        <v>http://www.uca.edu/</v>
      </c>
      <c r="G1702" s="2" t="str">
        <f t="shared" ca="1" si="0"/>
        <v>University of Central Arkansas</v>
      </c>
      <c r="H1702" s="3" t="str">
        <f t="shared" ca="1" si="1"/>
        <v>University of Central Arkansas</v>
      </c>
      <c r="I1702" s="3" t="str">
        <f t="shared" ca="1" si="2"/>
        <v>'University of Central Arkansas',</v>
      </c>
    </row>
    <row r="1703" spans="1:9">
      <c r="A1703" s="1" t="s">
        <v>1701</v>
      </c>
      <c r="B1703" s="3" t="str">
        <f ca="1">IFERROR(__xludf.DUMMYFUNCTION("SPLIT(A1703,"","")"),"US")</f>
        <v>US</v>
      </c>
      <c r="C1703" s="3" t="str">
        <f ca="1">IFERROR(__xludf.DUMMYFUNCTION("""COMPUTED_VALUE"""),"University of Central Florida")</f>
        <v>University of Central Florida</v>
      </c>
      <c r="D1703" s="4" t="str">
        <f ca="1">IFERROR(__xludf.DUMMYFUNCTION("""COMPUTED_VALUE"""),"http://www.ucf.edu/")</f>
        <v>http://www.ucf.edu/</v>
      </c>
      <c r="G1703" s="2" t="str">
        <f t="shared" ca="1" si="0"/>
        <v>University of Central Florida</v>
      </c>
      <c r="H1703" s="3" t="str">
        <f t="shared" ca="1" si="1"/>
        <v>University of Central Florida</v>
      </c>
      <c r="I1703" s="3" t="str">
        <f t="shared" ca="1" si="2"/>
        <v>'University of Central Florida',</v>
      </c>
    </row>
    <row r="1704" spans="1:9">
      <c r="A1704" s="1" t="s">
        <v>1702</v>
      </c>
      <c r="B1704" s="3" t="str">
        <f ca="1">IFERROR(__xludf.DUMMYFUNCTION("SPLIT(A1704,"","")"),"US")</f>
        <v>US</v>
      </c>
      <c r="C1704" s="3" t="str">
        <f ca="1">IFERROR(__xludf.DUMMYFUNCTION("""COMPUTED_VALUE"""),"University of Central Missouri")</f>
        <v>University of Central Missouri</v>
      </c>
      <c r="D1704" s="4" t="str">
        <f ca="1">IFERROR(__xludf.DUMMYFUNCTION("""COMPUTED_VALUE"""),"http://www.ucmo.edu/")</f>
        <v>http://www.ucmo.edu/</v>
      </c>
      <c r="G1704" s="2" t="str">
        <f t="shared" ca="1" si="0"/>
        <v>University of Central Missouri</v>
      </c>
      <c r="H1704" s="3" t="str">
        <f t="shared" ca="1" si="1"/>
        <v>University of Central Missouri</v>
      </c>
      <c r="I1704" s="3" t="str">
        <f t="shared" ca="1" si="2"/>
        <v>'University of Central Missouri',</v>
      </c>
    </row>
    <row r="1705" spans="1:9">
      <c r="A1705" s="1" t="s">
        <v>1703</v>
      </c>
      <c r="B1705" s="3" t="str">
        <f ca="1">IFERROR(__xludf.DUMMYFUNCTION("SPLIT(A1705,"","")"),"US")</f>
        <v>US</v>
      </c>
      <c r="C1705" s="3" t="str">
        <f ca="1">IFERROR(__xludf.DUMMYFUNCTION("""COMPUTED_VALUE"""),"University of Central Oklahoma")</f>
        <v>University of Central Oklahoma</v>
      </c>
      <c r="D1705" s="4" t="str">
        <f ca="1">IFERROR(__xludf.DUMMYFUNCTION("""COMPUTED_VALUE"""),"http://www.ucok.edu/")</f>
        <v>http://www.ucok.edu/</v>
      </c>
      <c r="G1705" s="2" t="str">
        <f t="shared" ca="1" si="0"/>
        <v>University of Central Oklahoma</v>
      </c>
      <c r="H1705" s="3" t="str">
        <f t="shared" ca="1" si="1"/>
        <v>University of Central Oklahoma</v>
      </c>
      <c r="I1705" s="3" t="str">
        <f t="shared" ca="1" si="2"/>
        <v>'University of Central Oklahoma',</v>
      </c>
    </row>
    <row r="1706" spans="1:9">
      <c r="A1706" s="1" t="s">
        <v>1704</v>
      </c>
      <c r="B1706" s="3" t="str">
        <f ca="1">IFERROR(__xludf.DUMMYFUNCTION("SPLIT(A1706,"","")"),"US")</f>
        <v>US</v>
      </c>
      <c r="C1706" s="3" t="str">
        <f ca="1">IFERROR(__xludf.DUMMYFUNCTION("""COMPUTED_VALUE"""),"University of Central Texas")</f>
        <v>University of Central Texas</v>
      </c>
      <c r="D1706" s="4" t="str">
        <f ca="1">IFERROR(__xludf.DUMMYFUNCTION("""COMPUTED_VALUE"""),"http://www.vvm.com/uct/")</f>
        <v>http://www.vvm.com/uct/</v>
      </c>
      <c r="G1706" s="2" t="str">
        <f t="shared" ca="1" si="0"/>
        <v>University of Central Texas</v>
      </c>
      <c r="H1706" s="3" t="str">
        <f t="shared" ca="1" si="1"/>
        <v>University of Central Texas</v>
      </c>
      <c r="I1706" s="3" t="str">
        <f t="shared" ca="1" si="2"/>
        <v>'University of Central Texas',</v>
      </c>
    </row>
    <row r="1707" spans="1:9">
      <c r="A1707" s="1" t="s">
        <v>1705</v>
      </c>
      <c r="B1707" s="3" t="str">
        <f ca="1">IFERROR(__xludf.DUMMYFUNCTION("SPLIT(A1707,"","")"),"US")</f>
        <v>US</v>
      </c>
      <c r="C1707" s="3" t="str">
        <f ca="1">IFERROR(__xludf.DUMMYFUNCTION("""COMPUTED_VALUE"""),"University of Charleston")</f>
        <v>University of Charleston</v>
      </c>
      <c r="D1707" s="4" t="str">
        <f ca="1">IFERROR(__xludf.DUMMYFUNCTION("""COMPUTED_VALUE"""),"http://www.uchaswv.edu/")</f>
        <v>http://www.uchaswv.edu/</v>
      </c>
      <c r="G1707" s="2" t="str">
        <f t="shared" ca="1" si="0"/>
        <v>University of Charleston</v>
      </c>
      <c r="H1707" s="3" t="str">
        <f t="shared" ca="1" si="1"/>
        <v>University of Charleston</v>
      </c>
      <c r="I1707" s="3" t="str">
        <f t="shared" ca="1" si="2"/>
        <v>'University of Charleston',</v>
      </c>
    </row>
    <row r="1708" spans="1:9">
      <c r="A1708" s="1" t="s">
        <v>1706</v>
      </c>
      <c r="B1708" s="3" t="str">
        <f ca="1">IFERROR(__xludf.DUMMYFUNCTION("SPLIT(A1708,"","")"),"US")</f>
        <v>US</v>
      </c>
      <c r="C1708" s="3" t="str">
        <f ca="1">IFERROR(__xludf.DUMMYFUNCTION("""COMPUTED_VALUE"""),"University of Charleston South Carolina")</f>
        <v>University of Charleston South Carolina</v>
      </c>
      <c r="D1708" s="4" t="str">
        <f ca="1">IFERROR(__xludf.DUMMYFUNCTION("""COMPUTED_VALUE"""),"http://univchas.cofc.edu/")</f>
        <v>http://univchas.cofc.edu/</v>
      </c>
      <c r="G1708" s="2" t="str">
        <f t="shared" ca="1" si="0"/>
        <v>University of Charleston South Carolina</v>
      </c>
      <c r="H1708" s="3" t="str">
        <f t="shared" ca="1" si="1"/>
        <v>University of Charleston South Carolina</v>
      </c>
      <c r="I1708" s="3" t="str">
        <f t="shared" ca="1" si="2"/>
        <v>'University of Charleston South Carolina',</v>
      </c>
    </row>
    <row r="1709" spans="1:9">
      <c r="A1709" s="1" t="s">
        <v>1707</v>
      </c>
      <c r="B1709" s="3" t="str">
        <f ca="1">IFERROR(__xludf.DUMMYFUNCTION("SPLIT(A1709,"","")"),"US")</f>
        <v>US</v>
      </c>
      <c r="C1709" s="3" t="str">
        <f ca="1">IFERROR(__xludf.DUMMYFUNCTION("""COMPUTED_VALUE"""),"University of Chicago")</f>
        <v>University of Chicago</v>
      </c>
      <c r="D1709" s="4" t="str">
        <f ca="1">IFERROR(__xludf.DUMMYFUNCTION("""COMPUTED_VALUE"""),"http://www.uchicago.edu/")</f>
        <v>http://www.uchicago.edu/</v>
      </c>
      <c r="G1709" s="2" t="str">
        <f t="shared" ca="1" si="0"/>
        <v>University of Chicago</v>
      </c>
      <c r="H1709" s="3" t="str">
        <f t="shared" ca="1" si="1"/>
        <v>University of Chicago</v>
      </c>
      <c r="I1709" s="3" t="str">
        <f t="shared" ca="1" si="2"/>
        <v>'University of Chicago',</v>
      </c>
    </row>
    <row r="1710" spans="1:9">
      <c r="A1710" s="1" t="s">
        <v>1708</v>
      </c>
      <c r="B1710" s="3" t="str">
        <f ca="1">IFERROR(__xludf.DUMMYFUNCTION("SPLIT(A1710,"","")"),"US")</f>
        <v>US</v>
      </c>
      <c r="C1710" s="3" t="str">
        <f ca="1">IFERROR(__xludf.DUMMYFUNCTION("""COMPUTED_VALUE"""),"University of Cincinnati")</f>
        <v>University of Cincinnati</v>
      </c>
      <c r="D1710" s="4" t="str">
        <f ca="1">IFERROR(__xludf.DUMMYFUNCTION("""COMPUTED_VALUE"""),"http://www.uc.edu/")</f>
        <v>http://www.uc.edu/</v>
      </c>
      <c r="G1710" s="2" t="str">
        <f t="shared" ca="1" si="0"/>
        <v>University of Cincinnati</v>
      </c>
      <c r="H1710" s="3" t="str">
        <f t="shared" ca="1" si="1"/>
        <v>University of Cincinnati</v>
      </c>
      <c r="I1710" s="3" t="str">
        <f t="shared" ca="1" si="2"/>
        <v>'University of Cincinnati',</v>
      </c>
    </row>
    <row r="1711" spans="1:9">
      <c r="A1711" s="1" t="s">
        <v>1709</v>
      </c>
      <c r="B1711" s="3" t="str">
        <f ca="1">IFERROR(__xludf.DUMMYFUNCTION("SPLIT(A1711,"","")"),"US")</f>
        <v>US</v>
      </c>
      <c r="C1711" s="3" t="str">
        <f ca="1">IFERROR(__xludf.DUMMYFUNCTION("""COMPUTED_VALUE"""),"University of Colorado at Boulder")</f>
        <v>University of Colorado at Boulder</v>
      </c>
      <c r="D1711" s="4" t="str">
        <f ca="1">IFERROR(__xludf.DUMMYFUNCTION("""COMPUTED_VALUE"""),"http://www.colorado.edu/")</f>
        <v>http://www.colorado.edu/</v>
      </c>
      <c r="G1711" s="2" t="str">
        <f t="shared" ca="1" si="0"/>
        <v>University of Colorado at Boulder</v>
      </c>
      <c r="H1711" s="3" t="str">
        <f t="shared" ca="1" si="1"/>
        <v>University of Colorado at Boulder</v>
      </c>
      <c r="I1711" s="3" t="str">
        <f t="shared" ca="1" si="2"/>
        <v>'University of Colorado at Boulder',</v>
      </c>
    </row>
    <row r="1712" spans="1:9">
      <c r="A1712" s="1" t="s">
        <v>1710</v>
      </c>
      <c r="B1712" s="3" t="str">
        <f ca="1">IFERROR(__xludf.DUMMYFUNCTION("SPLIT(A1712,"","")"),"US")</f>
        <v>US</v>
      </c>
      <c r="C1712" s="3" t="str">
        <f ca="1">IFERROR(__xludf.DUMMYFUNCTION("""COMPUTED_VALUE"""),"University of Colorado at Colorado Springs")</f>
        <v>University of Colorado at Colorado Springs</v>
      </c>
      <c r="D1712" s="4" t="str">
        <f ca="1">IFERROR(__xludf.DUMMYFUNCTION("""COMPUTED_VALUE"""),"http://www.uccs.edu/")</f>
        <v>http://www.uccs.edu/</v>
      </c>
      <c r="G1712" s="2" t="str">
        <f t="shared" ca="1" si="0"/>
        <v>University of Colorado at Colorado Springs</v>
      </c>
      <c r="H1712" s="3" t="str">
        <f t="shared" ca="1" si="1"/>
        <v>University of Colorado at Colorado Springs</v>
      </c>
      <c r="I1712" s="3" t="str">
        <f t="shared" ca="1" si="2"/>
        <v>'University of Colorado at Colorado Springs',</v>
      </c>
    </row>
    <row r="1713" spans="1:9">
      <c r="A1713" s="1" t="s">
        <v>1711</v>
      </c>
      <c r="B1713" s="3" t="str">
        <f ca="1">IFERROR(__xludf.DUMMYFUNCTION("SPLIT(A1713,"","")"),"US")</f>
        <v>US</v>
      </c>
      <c r="C1713" s="3" t="str">
        <f ca="1">IFERROR(__xludf.DUMMYFUNCTION("""COMPUTED_VALUE"""),"University of Colorado at Denver")</f>
        <v>University of Colorado at Denver</v>
      </c>
      <c r="D1713" s="4" t="str">
        <f ca="1">IFERROR(__xludf.DUMMYFUNCTION("""COMPUTED_VALUE"""),"http://www.cudenver.edu/")</f>
        <v>http://www.cudenver.edu/</v>
      </c>
      <c r="G1713" s="2" t="str">
        <f t="shared" ca="1" si="0"/>
        <v>University of Colorado at Denver</v>
      </c>
      <c r="H1713" s="3" t="str">
        <f t="shared" ca="1" si="1"/>
        <v>University of Colorado at Denver</v>
      </c>
      <c r="I1713" s="3" t="str">
        <f t="shared" ca="1" si="2"/>
        <v>'University of Colorado at Denver',</v>
      </c>
    </row>
    <row r="1714" spans="1:9">
      <c r="A1714" s="1" t="s">
        <v>1712</v>
      </c>
      <c r="B1714" s="3" t="str">
        <f ca="1">IFERROR(__xludf.DUMMYFUNCTION("SPLIT(A1714,"","")"),"US")</f>
        <v>US</v>
      </c>
      <c r="C1714" s="3" t="str">
        <f ca="1">IFERROR(__xludf.DUMMYFUNCTION("""COMPUTED_VALUE"""),"University of Colorado Health Sciences Center")</f>
        <v>University of Colorado Health Sciences Center</v>
      </c>
      <c r="D1714" s="4" t="str">
        <f ca="1">IFERROR(__xludf.DUMMYFUNCTION("""COMPUTED_VALUE"""),"http://www.uchsc.edu/")</f>
        <v>http://www.uchsc.edu/</v>
      </c>
      <c r="G1714" s="2" t="str">
        <f t="shared" ca="1" si="0"/>
        <v>University of Colorado Health Sciences Center</v>
      </c>
      <c r="H1714" s="3" t="str">
        <f t="shared" ca="1" si="1"/>
        <v>University of Colorado Health Sciences Center</v>
      </c>
      <c r="I1714" s="3" t="str">
        <f t="shared" ca="1" si="2"/>
        <v>'University of Colorado Health Sciences Center',</v>
      </c>
    </row>
    <row r="1715" spans="1:9">
      <c r="A1715" s="1" t="s">
        <v>1713</v>
      </c>
      <c r="B1715" s="3" t="str">
        <f ca="1">IFERROR(__xludf.DUMMYFUNCTION("SPLIT(A1715,"","")"),"US")</f>
        <v>US</v>
      </c>
      <c r="C1715" s="3" t="str">
        <f ca="1">IFERROR(__xludf.DUMMYFUNCTION("""COMPUTED_VALUE"""),"University of Connecticut")</f>
        <v>University of Connecticut</v>
      </c>
      <c r="D1715" s="4" t="str">
        <f ca="1">IFERROR(__xludf.DUMMYFUNCTION("""COMPUTED_VALUE"""),"http://www.uconn.edu/")</f>
        <v>http://www.uconn.edu/</v>
      </c>
      <c r="G1715" s="2" t="str">
        <f t="shared" ca="1" si="0"/>
        <v>University of Connecticut</v>
      </c>
      <c r="H1715" s="3" t="str">
        <f t="shared" ca="1" si="1"/>
        <v>University of Connecticut</v>
      </c>
      <c r="I1715" s="3" t="str">
        <f t="shared" ca="1" si="2"/>
        <v>'University of Connecticut',</v>
      </c>
    </row>
    <row r="1716" spans="1:9">
      <c r="A1716" s="1" t="s">
        <v>1714</v>
      </c>
      <c r="B1716" s="3" t="str">
        <f ca="1">IFERROR(__xludf.DUMMYFUNCTION("SPLIT(A1716,"","")"),"US")</f>
        <v>US</v>
      </c>
      <c r="C1716" s="3" t="str">
        <f ca="1">IFERROR(__xludf.DUMMYFUNCTION("""COMPUTED_VALUE"""),"University of Connecticut at Avery Point")</f>
        <v>University of Connecticut at Avery Point</v>
      </c>
      <c r="D1716" s="4" t="str">
        <f ca="1">IFERROR(__xludf.DUMMYFUNCTION("""COMPUTED_VALUE"""),"http://www.averypoint.uconn.edu/")</f>
        <v>http://www.averypoint.uconn.edu/</v>
      </c>
      <c r="G1716" s="2" t="str">
        <f t="shared" ca="1" si="0"/>
        <v>University of Connecticut at Avery Point</v>
      </c>
      <c r="H1716" s="3" t="str">
        <f t="shared" ca="1" si="1"/>
        <v>University of Connecticut at Avery Point</v>
      </c>
      <c r="I1716" s="3" t="str">
        <f t="shared" ca="1" si="2"/>
        <v>'University of Connecticut at Avery Point',</v>
      </c>
    </row>
    <row r="1717" spans="1:9">
      <c r="A1717" s="1" t="s">
        <v>1715</v>
      </c>
      <c r="B1717" s="3" t="str">
        <f ca="1">IFERROR(__xludf.DUMMYFUNCTION("SPLIT(A1717,"","")"),"US")</f>
        <v>US</v>
      </c>
      <c r="C1717" s="3" t="str">
        <f ca="1">IFERROR(__xludf.DUMMYFUNCTION("""COMPUTED_VALUE"""),"University of Connecticut at Hartford")</f>
        <v>University of Connecticut at Hartford</v>
      </c>
      <c r="D1717" s="4" t="str">
        <f ca="1">IFERROR(__xludf.DUMMYFUNCTION("""COMPUTED_VALUE"""),"http://vm.uconn.edu/~wwwhtfd/ugrad/")</f>
        <v>http://vm.uconn.edu/~wwwhtfd/ugrad/</v>
      </c>
      <c r="G1717" s="2" t="str">
        <f t="shared" ca="1" si="0"/>
        <v>University of Connecticut at Hartford</v>
      </c>
      <c r="H1717" s="3" t="str">
        <f t="shared" ca="1" si="1"/>
        <v>University of Connecticut at Hartford</v>
      </c>
      <c r="I1717" s="3" t="str">
        <f t="shared" ca="1" si="2"/>
        <v>'University of Connecticut at Hartford',</v>
      </c>
    </row>
    <row r="1718" spans="1:9">
      <c r="A1718" s="1" t="s">
        <v>1716</v>
      </c>
      <c r="B1718" s="3" t="str">
        <f ca="1">IFERROR(__xludf.DUMMYFUNCTION("SPLIT(A1718,"","")"),"US")</f>
        <v>US</v>
      </c>
      <c r="C1718" s="3" t="str">
        <f ca="1">IFERROR(__xludf.DUMMYFUNCTION("""COMPUTED_VALUE"""),"University of Connecticut at Stamford")</f>
        <v>University of Connecticut at Stamford</v>
      </c>
      <c r="D1718" s="4" t="str">
        <f ca="1">IFERROR(__xludf.DUMMYFUNCTION("""COMPUTED_VALUE"""),"http://www.stamford.uconn.edu/")</f>
        <v>http://www.stamford.uconn.edu/</v>
      </c>
      <c r="G1718" s="2" t="str">
        <f t="shared" ca="1" si="0"/>
        <v>University of Connecticut at Stamford</v>
      </c>
      <c r="H1718" s="3" t="str">
        <f t="shared" ca="1" si="1"/>
        <v>University of Connecticut at Stamford</v>
      </c>
      <c r="I1718" s="3" t="str">
        <f t="shared" ca="1" si="2"/>
        <v>'University of Connecticut at Stamford',</v>
      </c>
    </row>
    <row r="1719" spans="1:9">
      <c r="A1719" s="1" t="s">
        <v>1717</v>
      </c>
      <c r="B1719" s="3" t="str">
        <f ca="1">IFERROR(__xludf.DUMMYFUNCTION("SPLIT(A1719,"","")"),"US")</f>
        <v>US</v>
      </c>
      <c r="C1719" s="3" t="str">
        <f ca="1">IFERROR(__xludf.DUMMYFUNCTION("""COMPUTED_VALUE"""),"University of Connecticut at Waterbury")</f>
        <v>University of Connecticut at Waterbury</v>
      </c>
      <c r="D1719" s="4" t="str">
        <f ca="1">IFERROR(__xludf.DUMMYFUNCTION("""COMPUTED_VALUE"""),"http://www.waterbury.uconn.edu/")</f>
        <v>http://www.waterbury.uconn.edu/</v>
      </c>
      <c r="G1719" s="2" t="str">
        <f t="shared" ca="1" si="0"/>
        <v>University of Connecticut at Waterbury</v>
      </c>
      <c r="H1719" s="3" t="str">
        <f t="shared" ca="1" si="1"/>
        <v>University of Connecticut at Waterbury</v>
      </c>
      <c r="I1719" s="3" t="str">
        <f t="shared" ca="1" si="2"/>
        <v>'University of Connecticut at Waterbury',</v>
      </c>
    </row>
    <row r="1720" spans="1:9">
      <c r="A1720" s="1" t="s">
        <v>1718</v>
      </c>
      <c r="B1720" s="3" t="str">
        <f ca="1">IFERROR(__xludf.DUMMYFUNCTION("SPLIT(A1720,"","")"),"US")</f>
        <v>US</v>
      </c>
      <c r="C1720" s="3" t="str">
        <f ca="1">IFERROR(__xludf.DUMMYFUNCTION("""COMPUTED_VALUE"""),"University of Connecticut Health Center")</f>
        <v>University of Connecticut Health Center</v>
      </c>
      <c r="D1720" s="4" t="str">
        <f ca="1">IFERROR(__xludf.DUMMYFUNCTION("""COMPUTED_VALUE"""),"http://www.uchc.edu/")</f>
        <v>http://www.uchc.edu/</v>
      </c>
      <c r="G1720" s="2" t="str">
        <f t="shared" ca="1" si="0"/>
        <v>University of Connecticut Health Center</v>
      </c>
      <c r="H1720" s="3" t="str">
        <f t="shared" ca="1" si="1"/>
        <v>University of Connecticut Health Center</v>
      </c>
      <c r="I1720" s="3" t="str">
        <f t="shared" ca="1" si="2"/>
        <v>'University of Connecticut Health Center',</v>
      </c>
    </row>
    <row r="1721" spans="1:9">
      <c r="A1721" s="1" t="s">
        <v>1719</v>
      </c>
      <c r="B1721" s="3" t="str">
        <f ca="1">IFERROR(__xludf.DUMMYFUNCTION("SPLIT(A1721,"","")"),"US")</f>
        <v>US</v>
      </c>
      <c r="C1721" s="3" t="str">
        <f ca="1">IFERROR(__xludf.DUMMYFUNCTION("""COMPUTED_VALUE"""),"University of Dallas")</f>
        <v>University of Dallas</v>
      </c>
      <c r="D1721" s="4" t="str">
        <f ca="1">IFERROR(__xludf.DUMMYFUNCTION("""COMPUTED_VALUE"""),"http://www.udallas.edu/")</f>
        <v>http://www.udallas.edu/</v>
      </c>
      <c r="G1721" s="2" t="str">
        <f t="shared" ca="1" si="0"/>
        <v>University of Dallas</v>
      </c>
      <c r="H1721" s="3" t="str">
        <f t="shared" ca="1" si="1"/>
        <v>University of Dallas</v>
      </c>
      <c r="I1721" s="3" t="str">
        <f t="shared" ca="1" si="2"/>
        <v>'University of Dallas',</v>
      </c>
    </row>
    <row r="1722" spans="1:9">
      <c r="A1722" s="1" t="s">
        <v>1720</v>
      </c>
      <c r="B1722" s="3" t="str">
        <f ca="1">IFERROR(__xludf.DUMMYFUNCTION("SPLIT(A1722,"","")"),"US")</f>
        <v>US</v>
      </c>
      <c r="C1722" s="3" t="str">
        <f ca="1">IFERROR(__xludf.DUMMYFUNCTION("""COMPUTED_VALUE"""),"University of Dayton")</f>
        <v>University of Dayton</v>
      </c>
      <c r="D1722" s="4" t="str">
        <f ca="1">IFERROR(__xludf.DUMMYFUNCTION("""COMPUTED_VALUE"""),"http://www.udayton.edu/")</f>
        <v>http://www.udayton.edu/</v>
      </c>
      <c r="G1722" s="2" t="str">
        <f t="shared" ca="1" si="0"/>
        <v>University of Dayton</v>
      </c>
      <c r="H1722" s="3" t="str">
        <f t="shared" ca="1" si="1"/>
        <v>University of Dayton</v>
      </c>
      <c r="I1722" s="3" t="str">
        <f t="shared" ca="1" si="2"/>
        <v>'University of Dayton',</v>
      </c>
    </row>
    <row r="1723" spans="1:9">
      <c r="A1723" s="1" t="s">
        <v>1721</v>
      </c>
      <c r="B1723" s="3" t="str">
        <f ca="1">IFERROR(__xludf.DUMMYFUNCTION("SPLIT(A1723,"","")"),"US")</f>
        <v>US</v>
      </c>
      <c r="C1723" s="3" t="str">
        <f ca="1">IFERROR(__xludf.DUMMYFUNCTION("""COMPUTED_VALUE"""),"University of Delaware")</f>
        <v>University of Delaware</v>
      </c>
      <c r="D1723" s="4" t="str">
        <f ca="1">IFERROR(__xludf.DUMMYFUNCTION("""COMPUTED_VALUE"""),"http://www.udel.edu/")</f>
        <v>http://www.udel.edu/</v>
      </c>
      <c r="G1723" s="2" t="str">
        <f t="shared" ca="1" si="0"/>
        <v>University of Delaware</v>
      </c>
      <c r="H1723" s="3" t="str">
        <f t="shared" ca="1" si="1"/>
        <v>University of Delaware</v>
      </c>
      <c r="I1723" s="3" t="str">
        <f t="shared" ca="1" si="2"/>
        <v>'University of Delaware',</v>
      </c>
    </row>
    <row r="1724" spans="1:9">
      <c r="A1724" s="1" t="s">
        <v>1722</v>
      </c>
      <c r="B1724" s="3" t="str">
        <f ca="1">IFERROR(__xludf.DUMMYFUNCTION("SPLIT(A1724,"","")"),"US")</f>
        <v>US</v>
      </c>
      <c r="C1724" s="3" t="str">
        <f ca="1">IFERROR(__xludf.DUMMYFUNCTION("""COMPUTED_VALUE"""),"University of Denver")</f>
        <v>University of Denver</v>
      </c>
      <c r="D1724" s="4" t="str">
        <f ca="1">IFERROR(__xludf.DUMMYFUNCTION("""COMPUTED_VALUE"""),"http://www.du.edu/")</f>
        <v>http://www.du.edu/</v>
      </c>
      <c r="G1724" s="2" t="str">
        <f t="shared" ca="1" si="0"/>
        <v>University of Denver</v>
      </c>
      <c r="H1724" s="3" t="str">
        <f t="shared" ca="1" si="1"/>
        <v>University of Denver</v>
      </c>
      <c r="I1724" s="3" t="str">
        <f t="shared" ca="1" si="2"/>
        <v>'University of Denver',</v>
      </c>
    </row>
    <row r="1725" spans="1:9">
      <c r="A1725" s="1" t="s">
        <v>1723</v>
      </c>
      <c r="B1725" s="3" t="str">
        <f ca="1">IFERROR(__xludf.DUMMYFUNCTION("SPLIT(A1725,"","")"),"US")</f>
        <v>US</v>
      </c>
      <c r="C1725" s="3" t="str">
        <f ca="1">IFERROR(__xludf.DUMMYFUNCTION("""COMPUTED_VALUE"""),"University of Detroit Mercy")</f>
        <v>University of Detroit Mercy</v>
      </c>
      <c r="D1725" s="4" t="str">
        <f ca="1">IFERROR(__xludf.DUMMYFUNCTION("""COMPUTED_VALUE"""),"http://www.udmercy.edu/")</f>
        <v>http://www.udmercy.edu/</v>
      </c>
      <c r="G1725" s="2" t="str">
        <f t="shared" ca="1" si="0"/>
        <v>University of Detroit Mercy</v>
      </c>
      <c r="H1725" s="3" t="str">
        <f t="shared" ca="1" si="1"/>
        <v>University of Detroit Mercy</v>
      </c>
      <c r="I1725" s="3" t="str">
        <f t="shared" ca="1" si="2"/>
        <v>'University of Detroit Mercy',</v>
      </c>
    </row>
    <row r="1726" spans="1:9">
      <c r="A1726" s="1" t="s">
        <v>1724</v>
      </c>
      <c r="B1726" s="3" t="str">
        <f ca="1">IFERROR(__xludf.DUMMYFUNCTION("SPLIT(A1726,"","")"),"US")</f>
        <v>US</v>
      </c>
      <c r="C1726" s="3" t="str">
        <f ca="1">IFERROR(__xludf.DUMMYFUNCTION("""COMPUTED_VALUE"""),"University of Dubuque")</f>
        <v>University of Dubuque</v>
      </c>
      <c r="D1726" s="4" t="str">
        <f ca="1">IFERROR(__xludf.DUMMYFUNCTION("""COMPUTED_VALUE"""),"http://www.dbq.edu/")</f>
        <v>http://www.dbq.edu/</v>
      </c>
      <c r="G1726" s="2" t="str">
        <f t="shared" ca="1" si="0"/>
        <v>University of Dubuque</v>
      </c>
      <c r="H1726" s="3" t="str">
        <f t="shared" ca="1" si="1"/>
        <v>University of Dubuque</v>
      </c>
      <c r="I1726" s="3" t="str">
        <f t="shared" ca="1" si="2"/>
        <v>'University of Dubuque',</v>
      </c>
    </row>
    <row r="1727" spans="1:9">
      <c r="A1727" s="1" t="s">
        <v>1725</v>
      </c>
      <c r="B1727" s="3" t="str">
        <f ca="1">IFERROR(__xludf.DUMMYFUNCTION("SPLIT(A1727,"","")"),"US")</f>
        <v>US</v>
      </c>
      <c r="C1727" s="3" t="str">
        <f ca="1">IFERROR(__xludf.DUMMYFUNCTION("""COMPUTED_VALUE"""),"University of Evansville")</f>
        <v>University of Evansville</v>
      </c>
      <c r="D1727" s="4" t="str">
        <f ca="1">IFERROR(__xludf.DUMMYFUNCTION("""COMPUTED_VALUE"""),"http://www.evansville.edu/")</f>
        <v>http://www.evansville.edu/</v>
      </c>
      <c r="G1727" s="2" t="str">
        <f t="shared" ca="1" si="0"/>
        <v>University of Evansville</v>
      </c>
      <c r="H1727" s="3" t="str">
        <f t="shared" ca="1" si="1"/>
        <v>University of Evansville</v>
      </c>
      <c r="I1727" s="3" t="str">
        <f t="shared" ca="1" si="2"/>
        <v>'University of Evansville',</v>
      </c>
    </row>
    <row r="1728" spans="1:9">
      <c r="A1728" s="1" t="s">
        <v>1726</v>
      </c>
      <c r="B1728" s="3" t="str">
        <f ca="1">IFERROR(__xludf.DUMMYFUNCTION("SPLIT(A1728,"","")"),"US")</f>
        <v>US</v>
      </c>
      <c r="C1728" s="3" t="str">
        <f ca="1">IFERROR(__xludf.DUMMYFUNCTION("""COMPUTED_VALUE"""),"University of Findlay")</f>
        <v>University of Findlay</v>
      </c>
      <c r="D1728" s="4" t="str">
        <f ca="1">IFERROR(__xludf.DUMMYFUNCTION("""COMPUTED_VALUE"""),"http://www.findlay.edu/")</f>
        <v>http://www.findlay.edu/</v>
      </c>
      <c r="G1728" s="2" t="str">
        <f t="shared" ca="1" si="0"/>
        <v>University of Findlay</v>
      </c>
      <c r="H1728" s="3" t="str">
        <f t="shared" ca="1" si="1"/>
        <v>University of Findlay</v>
      </c>
      <c r="I1728" s="3" t="str">
        <f t="shared" ca="1" si="2"/>
        <v>'University of Findlay',</v>
      </c>
    </row>
    <row r="1729" spans="1:9">
      <c r="A1729" s="1" t="s">
        <v>1727</v>
      </c>
      <c r="B1729" s="3" t="str">
        <f ca="1">IFERROR(__xludf.DUMMYFUNCTION("SPLIT(A1729,"","")"),"US")</f>
        <v>US</v>
      </c>
      <c r="C1729" s="3" t="str">
        <f ca="1">IFERROR(__xludf.DUMMYFUNCTION("""COMPUTED_VALUE"""),"University of Florida")</f>
        <v>University of Florida</v>
      </c>
      <c r="D1729" s="4" t="str">
        <f ca="1">IFERROR(__xludf.DUMMYFUNCTION("""COMPUTED_VALUE"""),"http://www.ufl.edu/")</f>
        <v>http://www.ufl.edu/</v>
      </c>
      <c r="G1729" s="2" t="str">
        <f t="shared" ca="1" si="0"/>
        <v>University of Florida</v>
      </c>
      <c r="H1729" s="3" t="str">
        <f t="shared" ca="1" si="1"/>
        <v>University of Florida</v>
      </c>
      <c r="I1729" s="3" t="str">
        <f t="shared" ca="1" si="2"/>
        <v>'University of Florida',</v>
      </c>
    </row>
    <row r="1730" spans="1:9">
      <c r="A1730" s="1" t="s">
        <v>1728</v>
      </c>
      <c r="B1730" s="3" t="str">
        <f ca="1">IFERROR(__xludf.DUMMYFUNCTION("SPLIT(A1730,"","")"),"US")</f>
        <v>US</v>
      </c>
      <c r="C1730" s="3" t="str">
        <f ca="1">IFERROR(__xludf.DUMMYFUNCTION("""COMPUTED_VALUE"""),"University of Georgia")</f>
        <v>University of Georgia</v>
      </c>
      <c r="D1730" s="4" t="str">
        <f ca="1">IFERROR(__xludf.DUMMYFUNCTION("""COMPUTED_VALUE"""),"http://www.uga.edu/")</f>
        <v>http://www.uga.edu/</v>
      </c>
      <c r="G1730" s="2" t="str">
        <f t="shared" ca="1" si="0"/>
        <v>University of Georgia</v>
      </c>
      <c r="H1730" s="3" t="str">
        <f t="shared" ca="1" si="1"/>
        <v>University of Georgia</v>
      </c>
      <c r="I1730" s="3" t="str">
        <f t="shared" ca="1" si="2"/>
        <v>'University of Georgia',</v>
      </c>
    </row>
    <row r="1731" spans="1:9">
      <c r="A1731" s="1" t="s">
        <v>1729</v>
      </c>
      <c r="B1731" s="3" t="str">
        <f ca="1">IFERROR(__xludf.DUMMYFUNCTION("SPLIT(A1731,"","")"),"US")</f>
        <v>US</v>
      </c>
      <c r="C1731" s="3" t="str">
        <f ca="1">IFERROR(__xludf.DUMMYFUNCTION("""COMPUTED_VALUE"""),"University of Great Falls")</f>
        <v>University of Great Falls</v>
      </c>
      <c r="D1731" s="4" t="str">
        <f ca="1">IFERROR(__xludf.DUMMYFUNCTION("""COMPUTED_VALUE"""),"http://www.ugf.edu/")</f>
        <v>http://www.ugf.edu/</v>
      </c>
      <c r="G1731" s="2" t="str">
        <f t="shared" ca="1" si="0"/>
        <v>University of Great Falls</v>
      </c>
      <c r="H1731" s="3" t="str">
        <f t="shared" ca="1" si="1"/>
        <v>University of Great Falls</v>
      </c>
      <c r="I1731" s="3" t="str">
        <f t="shared" ca="1" si="2"/>
        <v>'University of Great Falls',</v>
      </c>
    </row>
    <row r="1732" spans="1:9">
      <c r="A1732" s="1" t="s">
        <v>1730</v>
      </c>
      <c r="B1732" s="3" t="str">
        <f ca="1">IFERROR(__xludf.DUMMYFUNCTION("SPLIT(A1732,"","")"),"US")</f>
        <v>US</v>
      </c>
      <c r="C1732" s="3" t="str">
        <f ca="1">IFERROR(__xludf.DUMMYFUNCTION("""COMPUTED_VALUE"""),"University of Hartford")</f>
        <v>University of Hartford</v>
      </c>
      <c r="D1732" s="4" t="str">
        <f ca="1">IFERROR(__xludf.DUMMYFUNCTION("""COMPUTED_VALUE"""),"http://www.hartford.edu/")</f>
        <v>http://www.hartford.edu/</v>
      </c>
      <c r="G1732" s="2" t="str">
        <f t="shared" ca="1" si="0"/>
        <v>University of Hartford</v>
      </c>
      <c r="H1732" s="3" t="str">
        <f t="shared" ca="1" si="1"/>
        <v>University of Hartford</v>
      </c>
      <c r="I1732" s="3" t="str">
        <f t="shared" ca="1" si="2"/>
        <v>'University of Hartford',</v>
      </c>
    </row>
    <row r="1733" spans="1:9">
      <c r="A1733" s="1" t="s">
        <v>1731</v>
      </c>
      <c r="B1733" s="3" t="str">
        <f ca="1">IFERROR(__xludf.DUMMYFUNCTION("SPLIT(A1733,"","")"),"US")</f>
        <v>US</v>
      </c>
      <c r="C1733" s="3" t="str">
        <f ca="1">IFERROR(__xludf.DUMMYFUNCTION("""COMPUTED_VALUE"""),"University of Hawaii - Hilo")</f>
        <v>University of Hawaii - Hilo</v>
      </c>
      <c r="D1733" s="4" t="str">
        <f ca="1">IFERROR(__xludf.DUMMYFUNCTION("""COMPUTED_VALUE"""),"http://www.uhh.hawaii.edu/")</f>
        <v>http://www.uhh.hawaii.edu/</v>
      </c>
      <c r="G1733" s="2" t="str">
        <f t="shared" ca="1" si="0"/>
        <v>University of Hawaii - Hilo</v>
      </c>
      <c r="H1733" s="3" t="str">
        <f t="shared" ca="1" si="1"/>
        <v>University of Hawaii - Hilo</v>
      </c>
      <c r="I1733" s="3" t="str">
        <f t="shared" ca="1" si="2"/>
        <v>'University of Hawaii - Hilo',</v>
      </c>
    </row>
    <row r="1734" spans="1:9">
      <c r="A1734" s="1" t="s">
        <v>1732</v>
      </c>
      <c r="B1734" s="3" t="str">
        <f ca="1">IFERROR(__xludf.DUMMYFUNCTION("SPLIT(A1734,"","")"),"US")</f>
        <v>US</v>
      </c>
      <c r="C1734" s="3" t="str">
        <f ca="1">IFERROR(__xludf.DUMMYFUNCTION("""COMPUTED_VALUE"""),"University of Hawaii - Manoa")</f>
        <v>University of Hawaii - Manoa</v>
      </c>
      <c r="D1734" s="4" t="str">
        <f ca="1">IFERROR(__xludf.DUMMYFUNCTION("""COMPUTED_VALUE"""),"http://www.uhm.hawaii.edu/")</f>
        <v>http://www.uhm.hawaii.edu/</v>
      </c>
      <c r="G1734" s="2" t="str">
        <f t="shared" ca="1" si="0"/>
        <v>University of Hawaii - Manoa</v>
      </c>
      <c r="H1734" s="3" t="str">
        <f t="shared" ca="1" si="1"/>
        <v>University of Hawaii - Manoa</v>
      </c>
      <c r="I1734" s="3" t="str">
        <f t="shared" ca="1" si="2"/>
        <v>'University of Hawaii - Manoa',</v>
      </c>
    </row>
    <row r="1735" spans="1:9">
      <c r="A1735" s="1" t="s">
        <v>1733</v>
      </c>
      <c r="B1735" s="3" t="str">
        <f ca="1">IFERROR(__xludf.DUMMYFUNCTION("SPLIT(A1735,"","")"),"US")</f>
        <v>US</v>
      </c>
      <c r="C1735" s="3" t="str">
        <f ca="1">IFERROR(__xludf.DUMMYFUNCTION("""COMPUTED_VALUE"""),"University Of Hawaii - System")</f>
        <v>University Of Hawaii - System</v>
      </c>
      <c r="D1735" s="4" t="str">
        <f ca="1">IFERROR(__xludf.DUMMYFUNCTION("""COMPUTED_VALUE"""),"http://www.hawaii.edu/")</f>
        <v>http://www.hawaii.edu/</v>
      </c>
      <c r="G1735" s="2" t="str">
        <f t="shared" ca="1" si="0"/>
        <v>University Of Hawaii - System</v>
      </c>
      <c r="H1735" s="3" t="str">
        <f t="shared" ca="1" si="1"/>
        <v>University Of Hawaii - System</v>
      </c>
      <c r="I1735" s="3" t="str">
        <f t="shared" ca="1" si="2"/>
        <v>'University Of Hawaii - System',</v>
      </c>
    </row>
    <row r="1736" spans="1:9">
      <c r="A1736" s="1" t="s">
        <v>1734</v>
      </c>
      <c r="B1736" s="3" t="str">
        <f ca="1">IFERROR(__xludf.DUMMYFUNCTION("SPLIT(A1736,"","")"),"US")</f>
        <v>US</v>
      </c>
      <c r="C1736" s="3" t="str">
        <f ca="1">IFERROR(__xludf.DUMMYFUNCTION("""COMPUTED_VALUE"""),"University of Hawaii - West Oahu")</f>
        <v>University of Hawaii - West Oahu</v>
      </c>
      <c r="D1736" s="4" t="str">
        <f ca="1">IFERROR(__xludf.DUMMYFUNCTION("""COMPUTED_VALUE"""),"http://www.uhwo.hawaii.edu/")</f>
        <v>http://www.uhwo.hawaii.edu/</v>
      </c>
      <c r="G1736" s="2" t="str">
        <f t="shared" ca="1" si="0"/>
        <v>University of Hawaii - West Oahu</v>
      </c>
      <c r="H1736" s="3" t="str">
        <f t="shared" ca="1" si="1"/>
        <v>University of Hawaii - West Oahu</v>
      </c>
      <c r="I1736" s="3" t="str">
        <f t="shared" ca="1" si="2"/>
        <v>'University of Hawaii - West Oahu',</v>
      </c>
    </row>
    <row r="1737" spans="1:9">
      <c r="A1737" s="1" t="s">
        <v>1735</v>
      </c>
      <c r="B1737" s="3" t="str">
        <f ca="1">IFERROR(__xludf.DUMMYFUNCTION("SPLIT(A1737,"","")"),"US")</f>
        <v>US</v>
      </c>
      <c r="C1737" s="3" t="str">
        <f ca="1">IFERROR(__xludf.DUMMYFUNCTION("""COMPUTED_VALUE"""),"University of Health Sciences")</f>
        <v>University of Health Sciences</v>
      </c>
      <c r="D1737" s="4" t="str">
        <f ca="1">IFERROR(__xludf.DUMMYFUNCTION("""COMPUTED_VALUE"""),"http://www.uhs.edu/")</f>
        <v>http://www.uhs.edu/</v>
      </c>
      <c r="G1737" s="2" t="str">
        <f t="shared" ca="1" si="0"/>
        <v>University of Health Sciences</v>
      </c>
      <c r="H1737" s="3" t="str">
        <f t="shared" ca="1" si="1"/>
        <v>University of Health Sciences</v>
      </c>
      <c r="I1737" s="3" t="str">
        <f t="shared" ca="1" si="2"/>
        <v>'University of Health Sciences',</v>
      </c>
    </row>
    <row r="1738" spans="1:9">
      <c r="A1738" s="1" t="s">
        <v>1736</v>
      </c>
      <c r="B1738" s="3" t="str">
        <f ca="1">IFERROR(__xludf.DUMMYFUNCTION("SPLIT(A1738,"","")"),"US")</f>
        <v>US</v>
      </c>
      <c r="C1738" s="3" t="str">
        <f ca="1">IFERROR(__xludf.DUMMYFUNCTION("""COMPUTED_VALUE"""),"University of Houston")</f>
        <v>University of Houston</v>
      </c>
      <c r="D1738" s="4" t="str">
        <f ca="1">IFERROR(__xludf.DUMMYFUNCTION("""COMPUTED_VALUE"""),"http://www.uh.edu/")</f>
        <v>http://www.uh.edu/</v>
      </c>
      <c r="G1738" s="2" t="str">
        <f t="shared" ca="1" si="0"/>
        <v>University of Houston</v>
      </c>
      <c r="H1738" s="3" t="str">
        <f t="shared" ca="1" si="1"/>
        <v>University of Houston</v>
      </c>
      <c r="I1738" s="3" t="str">
        <f t="shared" ca="1" si="2"/>
        <v>'University of Houston',</v>
      </c>
    </row>
    <row r="1739" spans="1:9">
      <c r="A1739" s="1" t="s">
        <v>1737</v>
      </c>
      <c r="B1739" s="3" t="str">
        <f ca="1">IFERROR(__xludf.DUMMYFUNCTION("SPLIT(A1739,"","")"),"US")</f>
        <v>US</v>
      </c>
      <c r="C1739" s="3" t="str">
        <f ca="1">IFERROR(__xludf.DUMMYFUNCTION("""COMPUTED_VALUE"""),"""University of Houston")</f>
        <v>"University of Houston</v>
      </c>
      <c r="D1739" s="3" t="str">
        <f ca="1">IFERROR(__xludf.DUMMYFUNCTION("""COMPUTED_VALUE""")," Clear Lake""")</f>
        <v xml:space="preserve"> Clear Lake"</v>
      </c>
      <c r="E1739" s="4" t="str">
        <f ca="1">IFERROR(__xludf.DUMMYFUNCTION("""COMPUTED_VALUE"""),"http://www.cl.uh.edu/")</f>
        <v>http://www.cl.uh.edu/</v>
      </c>
      <c r="G1739" s="2" t="str">
        <f t="shared" ca="1" si="0"/>
        <v>"University of Houston</v>
      </c>
      <c r="H1739" s="3" t="str">
        <f t="shared" ca="1" si="1"/>
        <v>University of Houston</v>
      </c>
      <c r="I1739" s="3" t="str">
        <f t="shared" ca="1" si="2"/>
        <v>'University of Houston',</v>
      </c>
    </row>
    <row r="1740" spans="1:9">
      <c r="A1740" s="1" t="s">
        <v>1738</v>
      </c>
      <c r="B1740" s="3" t="str">
        <f ca="1">IFERROR(__xludf.DUMMYFUNCTION("SPLIT(A1740,"","")"),"US")</f>
        <v>US</v>
      </c>
      <c r="C1740" s="3" t="str">
        <f ca="1">IFERROR(__xludf.DUMMYFUNCTION("""COMPUTED_VALUE"""),"""University of Houston")</f>
        <v>"University of Houston</v>
      </c>
      <c r="D1740" s="3" t="str">
        <f ca="1">IFERROR(__xludf.DUMMYFUNCTION("""COMPUTED_VALUE""")," Downtown""")</f>
        <v xml:space="preserve"> Downtown"</v>
      </c>
      <c r="E1740" s="4" t="str">
        <f ca="1">IFERROR(__xludf.DUMMYFUNCTION("""COMPUTED_VALUE"""),"http://www.dt.uh.edu/")</f>
        <v>http://www.dt.uh.edu/</v>
      </c>
      <c r="G1740" s="2" t="str">
        <f t="shared" ca="1" si="0"/>
        <v>"University of Houston</v>
      </c>
      <c r="H1740" s="3" t="str">
        <f t="shared" ca="1" si="1"/>
        <v>University of Houston</v>
      </c>
      <c r="I1740" s="3" t="str">
        <f t="shared" ca="1" si="2"/>
        <v>'University of Houston',</v>
      </c>
    </row>
    <row r="1741" spans="1:9">
      <c r="A1741" s="1" t="s">
        <v>1739</v>
      </c>
      <c r="B1741" s="3" t="str">
        <f ca="1">IFERROR(__xludf.DUMMYFUNCTION("SPLIT(A1741,"","")"),"US")</f>
        <v>US</v>
      </c>
      <c r="C1741" s="3" t="str">
        <f ca="1">IFERROR(__xludf.DUMMYFUNCTION("""COMPUTED_VALUE"""),"""University of Houston")</f>
        <v>"University of Houston</v>
      </c>
      <c r="D1741" s="3" t="str">
        <f ca="1">IFERROR(__xludf.DUMMYFUNCTION("""COMPUTED_VALUE""")," Victoria""")</f>
        <v xml:space="preserve"> Victoria"</v>
      </c>
      <c r="E1741" s="4" t="str">
        <f ca="1">IFERROR(__xludf.DUMMYFUNCTION("""COMPUTED_VALUE"""),"http://www.vic.uh.edu/")</f>
        <v>http://www.vic.uh.edu/</v>
      </c>
      <c r="G1741" s="2" t="str">
        <f t="shared" ca="1" si="0"/>
        <v>"University of Houston</v>
      </c>
      <c r="H1741" s="3" t="str">
        <f t="shared" ca="1" si="1"/>
        <v>University of Houston</v>
      </c>
      <c r="I1741" s="3" t="str">
        <f t="shared" ca="1" si="2"/>
        <v>'University of Houston',</v>
      </c>
    </row>
    <row r="1742" spans="1:9">
      <c r="A1742" s="1" t="s">
        <v>1740</v>
      </c>
      <c r="B1742" s="3" t="str">
        <f ca="1">IFERROR(__xludf.DUMMYFUNCTION("SPLIT(A1742,"","")"),"US")</f>
        <v>US</v>
      </c>
      <c r="C1742" s="3" t="str">
        <f ca="1">IFERROR(__xludf.DUMMYFUNCTION("""COMPUTED_VALUE"""),"University of Idaho")</f>
        <v>University of Idaho</v>
      </c>
      <c r="D1742" s="4" t="str">
        <f ca="1">IFERROR(__xludf.DUMMYFUNCTION("""COMPUTED_VALUE"""),"http://www.uidaho.edu/")</f>
        <v>http://www.uidaho.edu/</v>
      </c>
      <c r="G1742" s="2" t="str">
        <f t="shared" ca="1" si="0"/>
        <v>University of Idaho</v>
      </c>
      <c r="H1742" s="3" t="str">
        <f t="shared" ca="1" si="1"/>
        <v>University of Idaho</v>
      </c>
      <c r="I1742" s="3" t="str">
        <f t="shared" ca="1" si="2"/>
        <v>'University of Idaho',</v>
      </c>
    </row>
    <row r="1743" spans="1:9">
      <c r="A1743" s="1" t="s">
        <v>1741</v>
      </c>
      <c r="B1743" s="3" t="str">
        <f ca="1">IFERROR(__xludf.DUMMYFUNCTION("SPLIT(A1743,"","")"),"US")</f>
        <v>US</v>
      </c>
      <c r="C1743" s="3" t="str">
        <f ca="1">IFERROR(__xludf.DUMMYFUNCTION("""COMPUTED_VALUE"""),"University of Illinois")</f>
        <v>University of Illinois</v>
      </c>
      <c r="D1743" s="4" t="str">
        <f ca="1">IFERROR(__xludf.DUMMYFUNCTION("""COMPUTED_VALUE"""),"http://www.uillinois.edu/")</f>
        <v>http://www.uillinois.edu/</v>
      </c>
      <c r="G1743" s="2" t="str">
        <f t="shared" ca="1" si="0"/>
        <v>University of Illinois</v>
      </c>
      <c r="H1743" s="3" t="str">
        <f t="shared" ca="1" si="1"/>
        <v>University of Illinois</v>
      </c>
      <c r="I1743" s="3" t="str">
        <f t="shared" ca="1" si="2"/>
        <v>'University of Illinois',</v>
      </c>
    </row>
    <row r="1744" spans="1:9">
      <c r="A1744" s="1" t="s">
        <v>1742</v>
      </c>
      <c r="B1744" s="3" t="str">
        <f ca="1">IFERROR(__xludf.DUMMYFUNCTION("SPLIT(A1744,"","")"),"US")</f>
        <v>US</v>
      </c>
      <c r="C1744" s="3" t="str">
        <f ca="1">IFERROR(__xludf.DUMMYFUNCTION("""COMPUTED_VALUE"""),"University of Illinois at Chicago")</f>
        <v>University of Illinois at Chicago</v>
      </c>
      <c r="D1744" s="4" t="str">
        <f ca="1">IFERROR(__xludf.DUMMYFUNCTION("""COMPUTED_VALUE"""),"http://www.uic.edu/")</f>
        <v>http://www.uic.edu/</v>
      </c>
      <c r="G1744" s="2" t="str">
        <f t="shared" ca="1" si="0"/>
        <v>University of Illinois at Chicago</v>
      </c>
      <c r="H1744" s="3" t="str">
        <f t="shared" ca="1" si="1"/>
        <v>University of Illinois at Chicago</v>
      </c>
      <c r="I1744" s="3" t="str">
        <f t="shared" ca="1" si="2"/>
        <v>'University of Illinois at Chicago',</v>
      </c>
    </row>
    <row r="1745" spans="1:9">
      <c r="A1745" s="1" t="s">
        <v>1743</v>
      </c>
      <c r="B1745" s="3" t="str">
        <f ca="1">IFERROR(__xludf.DUMMYFUNCTION("SPLIT(A1745,"","")"),"US")</f>
        <v>US</v>
      </c>
      <c r="C1745" s="3" t="str">
        <f ca="1">IFERROR(__xludf.DUMMYFUNCTION("""COMPUTED_VALUE"""),"University of Illinois at Springfield")</f>
        <v>University of Illinois at Springfield</v>
      </c>
      <c r="D1745" s="4" t="str">
        <f ca="1">IFERROR(__xludf.DUMMYFUNCTION("""COMPUTED_VALUE"""),"http://www.uis.edu/")</f>
        <v>http://www.uis.edu/</v>
      </c>
      <c r="G1745" s="2" t="str">
        <f t="shared" ca="1" si="0"/>
        <v>University of Illinois at Springfield</v>
      </c>
      <c r="H1745" s="3" t="str">
        <f t="shared" ca="1" si="1"/>
        <v>University of Illinois at Springfield</v>
      </c>
      <c r="I1745" s="3" t="str">
        <f t="shared" ca="1" si="2"/>
        <v>'University of Illinois at Springfield',</v>
      </c>
    </row>
    <row r="1746" spans="1:9">
      <c r="A1746" s="1" t="s">
        <v>1744</v>
      </c>
      <c r="B1746" s="3" t="str">
        <f ca="1">IFERROR(__xludf.DUMMYFUNCTION("SPLIT(A1746,"","")"),"US")</f>
        <v>US</v>
      </c>
      <c r="C1746" s="3" t="str">
        <f ca="1">IFERROR(__xludf.DUMMYFUNCTION("""COMPUTED_VALUE"""),"University of Illinois at Urbana-Champaign")</f>
        <v>University of Illinois at Urbana-Champaign</v>
      </c>
      <c r="D1746" s="4" t="str">
        <f ca="1">IFERROR(__xludf.DUMMYFUNCTION("""COMPUTED_VALUE"""),"http://www.uiuc.edu/")</f>
        <v>http://www.uiuc.edu/</v>
      </c>
      <c r="G1746" s="2" t="str">
        <f t="shared" ca="1" si="0"/>
        <v>University of Illinois at Urbana-Champaign</v>
      </c>
      <c r="H1746" s="3" t="str">
        <f t="shared" ca="1" si="1"/>
        <v>University of Illinois at Urbana-Champaign</v>
      </c>
      <c r="I1746" s="3" t="str">
        <f t="shared" ca="1" si="2"/>
        <v>'University of Illinois at Urbana-Champaign',</v>
      </c>
    </row>
    <row r="1747" spans="1:9">
      <c r="A1747" s="1" t="s">
        <v>1745</v>
      </c>
      <c r="B1747" s="3" t="str">
        <f ca="1">IFERROR(__xludf.DUMMYFUNCTION("SPLIT(A1747,"","")"),"US")</f>
        <v>US</v>
      </c>
      <c r="C1747" s="3" t="str">
        <f ca="1">IFERROR(__xludf.DUMMYFUNCTION("""COMPUTED_VALUE"""),"University of Indianapolis")</f>
        <v>University of Indianapolis</v>
      </c>
      <c r="D1747" s="4" t="str">
        <f ca="1">IFERROR(__xludf.DUMMYFUNCTION("""COMPUTED_VALUE"""),"http://www.uindy.edu/")</f>
        <v>http://www.uindy.edu/</v>
      </c>
      <c r="G1747" s="2" t="str">
        <f t="shared" ca="1" si="0"/>
        <v>University of Indianapolis</v>
      </c>
      <c r="H1747" s="3" t="str">
        <f t="shared" ca="1" si="1"/>
        <v>University of Indianapolis</v>
      </c>
      <c r="I1747" s="3" t="str">
        <f t="shared" ca="1" si="2"/>
        <v>'University of Indianapolis',</v>
      </c>
    </row>
    <row r="1748" spans="1:9">
      <c r="A1748" s="1" t="s">
        <v>1746</v>
      </c>
      <c r="B1748" s="3" t="str">
        <f ca="1">IFERROR(__xludf.DUMMYFUNCTION("SPLIT(A1748,"","")"),"US")</f>
        <v>US</v>
      </c>
      <c r="C1748" s="3" t="str">
        <f ca="1">IFERROR(__xludf.DUMMYFUNCTION("""COMPUTED_VALUE"""),"University of Iowa")</f>
        <v>University of Iowa</v>
      </c>
      <c r="D1748" s="4" t="str">
        <f ca="1">IFERROR(__xludf.DUMMYFUNCTION("""COMPUTED_VALUE"""),"http://www.uiowa.edu/")</f>
        <v>http://www.uiowa.edu/</v>
      </c>
      <c r="G1748" s="2" t="str">
        <f t="shared" ca="1" si="0"/>
        <v>University of Iowa</v>
      </c>
      <c r="H1748" s="3" t="str">
        <f t="shared" ca="1" si="1"/>
        <v>University of Iowa</v>
      </c>
      <c r="I1748" s="3" t="str">
        <f t="shared" ca="1" si="2"/>
        <v>'University of Iowa',</v>
      </c>
    </row>
    <row r="1749" spans="1:9">
      <c r="A1749" s="1" t="s">
        <v>1747</v>
      </c>
      <c r="B1749" s="3" t="str">
        <f ca="1">IFERROR(__xludf.DUMMYFUNCTION("SPLIT(A1749,"","")"),"US")</f>
        <v>US</v>
      </c>
      <c r="C1749" s="3" t="str">
        <f ca="1">IFERROR(__xludf.DUMMYFUNCTION("""COMPUTED_VALUE"""),"University of Kansas")</f>
        <v>University of Kansas</v>
      </c>
      <c r="D1749" s="4" t="str">
        <f ca="1">IFERROR(__xludf.DUMMYFUNCTION("""COMPUTED_VALUE"""),"http://www.ku.edu/")</f>
        <v>http://www.ku.edu/</v>
      </c>
      <c r="G1749" s="2" t="str">
        <f t="shared" ca="1" si="0"/>
        <v>University of Kansas</v>
      </c>
      <c r="H1749" s="3" t="str">
        <f t="shared" ca="1" si="1"/>
        <v>University of Kansas</v>
      </c>
      <c r="I1749" s="3" t="str">
        <f t="shared" ca="1" si="2"/>
        <v>'University of Kansas',</v>
      </c>
    </row>
    <row r="1750" spans="1:9">
      <c r="A1750" s="1" t="s">
        <v>1748</v>
      </c>
      <c r="B1750" s="3" t="str">
        <f ca="1">IFERROR(__xludf.DUMMYFUNCTION("SPLIT(A1750,"","")"),"US")</f>
        <v>US</v>
      </c>
      <c r="C1750" s="3" t="str">
        <f ca="1">IFERROR(__xludf.DUMMYFUNCTION("""COMPUTED_VALUE"""),"University of Kentucky")</f>
        <v>University of Kentucky</v>
      </c>
      <c r="D1750" s="4" t="str">
        <f ca="1">IFERROR(__xludf.DUMMYFUNCTION("""COMPUTED_VALUE"""),"http://www.uky.edu/")</f>
        <v>http://www.uky.edu/</v>
      </c>
      <c r="G1750" s="2" t="str">
        <f t="shared" ca="1" si="0"/>
        <v>University of Kentucky</v>
      </c>
      <c r="H1750" s="3" t="str">
        <f t="shared" ca="1" si="1"/>
        <v>University of Kentucky</v>
      </c>
      <c r="I1750" s="3" t="str">
        <f t="shared" ca="1" si="2"/>
        <v>'University of Kentucky',</v>
      </c>
    </row>
    <row r="1751" spans="1:9">
      <c r="A1751" s="1" t="s">
        <v>1749</v>
      </c>
      <c r="B1751" s="3" t="str">
        <f ca="1">IFERROR(__xludf.DUMMYFUNCTION("SPLIT(A1751,"","")"),"US")</f>
        <v>US</v>
      </c>
      <c r="C1751" s="3" t="str">
        <f ca="1">IFERROR(__xludf.DUMMYFUNCTION("""COMPUTED_VALUE"""),"University of La Verne")</f>
        <v>University of La Verne</v>
      </c>
      <c r="D1751" s="4" t="str">
        <f ca="1">IFERROR(__xludf.DUMMYFUNCTION("""COMPUTED_VALUE"""),"http://www.ulaverne.edu/")</f>
        <v>http://www.ulaverne.edu/</v>
      </c>
      <c r="G1751" s="2" t="str">
        <f t="shared" ca="1" si="0"/>
        <v>University of La Verne</v>
      </c>
      <c r="H1751" s="3" t="str">
        <f t="shared" ca="1" si="1"/>
        <v>University of La Verne</v>
      </c>
      <c r="I1751" s="3" t="str">
        <f t="shared" ca="1" si="2"/>
        <v>'University of La Verne',</v>
      </c>
    </row>
    <row r="1752" spans="1:9">
      <c r="A1752" s="1" t="s">
        <v>1750</v>
      </c>
      <c r="B1752" s="3" t="str">
        <f ca="1">IFERROR(__xludf.DUMMYFUNCTION("SPLIT(A1752,"","")"),"US")</f>
        <v>US</v>
      </c>
      <c r="C1752" s="3" t="str">
        <f ca="1">IFERROR(__xludf.DUMMYFUNCTION("""COMPUTED_VALUE"""),"University of Louisiana at Lafayette")</f>
        <v>University of Louisiana at Lafayette</v>
      </c>
      <c r="D1752" s="4" t="str">
        <f ca="1">IFERROR(__xludf.DUMMYFUNCTION("""COMPUTED_VALUE"""),"http://www.louisiana.edu/")</f>
        <v>http://www.louisiana.edu/</v>
      </c>
      <c r="G1752" s="2" t="str">
        <f t="shared" ca="1" si="0"/>
        <v>University of Louisiana at Lafayette</v>
      </c>
      <c r="H1752" s="3" t="str">
        <f t="shared" ca="1" si="1"/>
        <v>University of Louisiana at Lafayette</v>
      </c>
      <c r="I1752" s="3" t="str">
        <f t="shared" ca="1" si="2"/>
        <v>'University of Louisiana at Lafayette',</v>
      </c>
    </row>
    <row r="1753" spans="1:9">
      <c r="A1753" s="1" t="s">
        <v>1751</v>
      </c>
      <c r="B1753" s="3" t="str">
        <f ca="1">IFERROR(__xludf.DUMMYFUNCTION("SPLIT(A1753,"","")"),"US")</f>
        <v>US</v>
      </c>
      <c r="C1753" s="3" t="str">
        <f ca="1">IFERROR(__xludf.DUMMYFUNCTION("""COMPUTED_VALUE"""),"University of Louisiana at Monroe")</f>
        <v>University of Louisiana at Monroe</v>
      </c>
      <c r="D1753" s="4" t="str">
        <f ca="1">IFERROR(__xludf.DUMMYFUNCTION("""COMPUTED_VALUE"""),"http://www.ulm.edu/")</f>
        <v>http://www.ulm.edu/</v>
      </c>
      <c r="G1753" s="2" t="str">
        <f t="shared" ca="1" si="0"/>
        <v>University of Louisiana at Monroe</v>
      </c>
      <c r="H1753" s="3" t="str">
        <f t="shared" ca="1" si="1"/>
        <v>University of Louisiana at Monroe</v>
      </c>
      <c r="I1753" s="3" t="str">
        <f t="shared" ca="1" si="2"/>
        <v>'University of Louisiana at Monroe',</v>
      </c>
    </row>
    <row r="1754" spans="1:9">
      <c r="A1754" s="1" t="s">
        <v>1752</v>
      </c>
      <c r="B1754" s="3" t="str">
        <f ca="1">IFERROR(__xludf.DUMMYFUNCTION("SPLIT(A1754,"","")"),"US")</f>
        <v>US</v>
      </c>
      <c r="C1754" s="3" t="str">
        <f ca="1">IFERROR(__xludf.DUMMYFUNCTION("""COMPUTED_VALUE"""),"University of Louisville")</f>
        <v>University of Louisville</v>
      </c>
      <c r="D1754" s="4" t="str">
        <f ca="1">IFERROR(__xludf.DUMMYFUNCTION("""COMPUTED_VALUE"""),"http://www.louisville.edu/")</f>
        <v>http://www.louisville.edu/</v>
      </c>
      <c r="G1754" s="2" t="str">
        <f t="shared" ca="1" si="0"/>
        <v>University of Louisville</v>
      </c>
      <c r="H1754" s="3" t="str">
        <f t="shared" ca="1" si="1"/>
        <v>University of Louisville</v>
      </c>
      <c r="I1754" s="3" t="str">
        <f t="shared" ca="1" si="2"/>
        <v>'University of Louisville',</v>
      </c>
    </row>
    <row r="1755" spans="1:9">
      <c r="A1755" s="1" t="s">
        <v>1753</v>
      </c>
      <c r="B1755" s="3" t="str">
        <f ca="1">IFERROR(__xludf.DUMMYFUNCTION("SPLIT(A1755,"","")"),"US")</f>
        <v>US</v>
      </c>
      <c r="C1755" s="3" t="str">
        <f ca="1">IFERROR(__xludf.DUMMYFUNCTION("""COMPUTED_VALUE"""),"""University of Maine")</f>
        <v>"University of Maine</v>
      </c>
      <c r="D1755" s="3" t="str">
        <f ca="1">IFERROR(__xludf.DUMMYFUNCTION("""COMPUTED_VALUE""")," Augusta""")</f>
        <v xml:space="preserve"> Augusta"</v>
      </c>
      <c r="E1755" s="4" t="str">
        <f ca="1">IFERROR(__xludf.DUMMYFUNCTION("""COMPUTED_VALUE"""),"http://www.uma.maine.edu/")</f>
        <v>http://www.uma.maine.edu/</v>
      </c>
      <c r="G1755" s="2" t="str">
        <f t="shared" ca="1" si="0"/>
        <v>"University of Maine</v>
      </c>
      <c r="H1755" s="3" t="str">
        <f t="shared" ca="1" si="1"/>
        <v>University of Maine</v>
      </c>
      <c r="I1755" s="3" t="str">
        <f t="shared" ca="1" si="2"/>
        <v>'University of Maine',</v>
      </c>
    </row>
    <row r="1756" spans="1:9">
      <c r="A1756" s="1" t="s">
        <v>1754</v>
      </c>
      <c r="B1756" s="3" t="str">
        <f ca="1">IFERROR(__xludf.DUMMYFUNCTION("SPLIT(A1756,"","")"),"US")</f>
        <v>US</v>
      </c>
      <c r="C1756" s="3" t="str">
        <f ca="1">IFERROR(__xludf.DUMMYFUNCTION("""COMPUTED_VALUE"""),"""University of Maine")</f>
        <v>"University of Maine</v>
      </c>
      <c r="D1756" s="3" t="str">
        <f ca="1">IFERROR(__xludf.DUMMYFUNCTION("""COMPUTED_VALUE""")," Farmington""")</f>
        <v xml:space="preserve"> Farmington"</v>
      </c>
      <c r="E1756" s="4" t="str">
        <f ca="1">IFERROR(__xludf.DUMMYFUNCTION("""COMPUTED_VALUE"""),"http://www.umf.maine.edu/")</f>
        <v>http://www.umf.maine.edu/</v>
      </c>
      <c r="G1756" s="2" t="str">
        <f t="shared" ca="1" si="0"/>
        <v>"University of Maine</v>
      </c>
      <c r="H1756" s="3" t="str">
        <f t="shared" ca="1" si="1"/>
        <v>University of Maine</v>
      </c>
      <c r="I1756" s="3" t="str">
        <f t="shared" ca="1" si="2"/>
        <v>'University of Maine',</v>
      </c>
    </row>
    <row r="1757" spans="1:9">
      <c r="A1757" s="1" t="s">
        <v>1755</v>
      </c>
      <c r="B1757" s="3" t="str">
        <f ca="1">IFERROR(__xludf.DUMMYFUNCTION("SPLIT(A1757,"","")"),"US")</f>
        <v>US</v>
      </c>
      <c r="C1757" s="3" t="str">
        <f ca="1">IFERROR(__xludf.DUMMYFUNCTION("""COMPUTED_VALUE"""),"""University of Maine")</f>
        <v>"University of Maine</v>
      </c>
      <c r="D1757" s="3" t="str">
        <f ca="1">IFERROR(__xludf.DUMMYFUNCTION("""COMPUTED_VALUE""")," Fort Kent""")</f>
        <v xml:space="preserve"> Fort Kent"</v>
      </c>
      <c r="E1757" s="4" t="str">
        <f ca="1">IFERROR(__xludf.DUMMYFUNCTION("""COMPUTED_VALUE"""),"http://www.umfk.maine.edu/")</f>
        <v>http://www.umfk.maine.edu/</v>
      </c>
      <c r="G1757" s="2" t="str">
        <f t="shared" ca="1" si="0"/>
        <v>"University of Maine</v>
      </c>
      <c r="H1757" s="3" t="str">
        <f t="shared" ca="1" si="1"/>
        <v>University of Maine</v>
      </c>
      <c r="I1757" s="3" t="str">
        <f t="shared" ca="1" si="2"/>
        <v>'University of Maine',</v>
      </c>
    </row>
    <row r="1758" spans="1:9">
      <c r="A1758" s="1" t="s">
        <v>1756</v>
      </c>
      <c r="B1758" s="3" t="str">
        <f ca="1">IFERROR(__xludf.DUMMYFUNCTION("SPLIT(A1758,"","")"),"US")</f>
        <v>US</v>
      </c>
      <c r="C1758" s="3" t="str">
        <f ca="1">IFERROR(__xludf.DUMMYFUNCTION("""COMPUTED_VALUE"""),"""University of Maine")</f>
        <v>"University of Maine</v>
      </c>
      <c r="D1758" s="3" t="str">
        <f ca="1">IFERROR(__xludf.DUMMYFUNCTION("""COMPUTED_VALUE""")," Machias""")</f>
        <v xml:space="preserve"> Machias"</v>
      </c>
      <c r="E1758" s="4" t="str">
        <f ca="1">IFERROR(__xludf.DUMMYFUNCTION("""COMPUTED_VALUE"""),"http://www.umm.maine.edu/")</f>
        <v>http://www.umm.maine.edu/</v>
      </c>
      <c r="G1758" s="2" t="str">
        <f t="shared" ca="1" si="0"/>
        <v>"University of Maine</v>
      </c>
      <c r="H1758" s="3" t="str">
        <f t="shared" ca="1" si="1"/>
        <v>University of Maine</v>
      </c>
      <c r="I1758" s="3" t="str">
        <f t="shared" ca="1" si="2"/>
        <v>'University of Maine',</v>
      </c>
    </row>
    <row r="1759" spans="1:9">
      <c r="A1759" s="1" t="s">
        <v>1757</v>
      </c>
      <c r="B1759" s="3" t="str">
        <f ca="1">IFERROR(__xludf.DUMMYFUNCTION("SPLIT(A1759,"","")"),"US")</f>
        <v>US</v>
      </c>
      <c r="C1759" s="3" t="str">
        <f ca="1">IFERROR(__xludf.DUMMYFUNCTION("""COMPUTED_VALUE"""),"""University of Maine")</f>
        <v>"University of Maine</v>
      </c>
      <c r="D1759" s="3" t="str">
        <f ca="1">IFERROR(__xludf.DUMMYFUNCTION("""COMPUTED_VALUE""")," Orono""")</f>
        <v xml:space="preserve"> Orono"</v>
      </c>
      <c r="E1759" s="4" t="str">
        <f ca="1">IFERROR(__xludf.DUMMYFUNCTION("""COMPUTED_VALUE"""),"http://www.umaine.edu/")</f>
        <v>http://www.umaine.edu/</v>
      </c>
      <c r="G1759" s="2" t="str">
        <f t="shared" ca="1" si="0"/>
        <v>"University of Maine</v>
      </c>
      <c r="H1759" s="3" t="str">
        <f t="shared" ca="1" si="1"/>
        <v>University of Maine</v>
      </c>
      <c r="I1759" s="3" t="str">
        <f t="shared" ca="1" si="2"/>
        <v>'University of Maine',</v>
      </c>
    </row>
    <row r="1760" spans="1:9">
      <c r="A1760" s="1" t="s">
        <v>1758</v>
      </c>
      <c r="B1760" s="3" t="str">
        <f ca="1">IFERROR(__xludf.DUMMYFUNCTION("SPLIT(A1760,"","")"),"US")</f>
        <v>US</v>
      </c>
      <c r="C1760" s="3" t="str">
        <f ca="1">IFERROR(__xludf.DUMMYFUNCTION("""COMPUTED_VALUE"""),"""University of Maine")</f>
        <v>"University of Maine</v>
      </c>
      <c r="D1760" s="3" t="str">
        <f ca="1">IFERROR(__xludf.DUMMYFUNCTION("""COMPUTED_VALUE""")," Presque Isle""")</f>
        <v xml:space="preserve"> Presque Isle"</v>
      </c>
      <c r="E1760" s="4" t="str">
        <f ca="1">IFERROR(__xludf.DUMMYFUNCTION("""COMPUTED_VALUE"""),"http://www.umpi.maine.edu/")</f>
        <v>http://www.umpi.maine.edu/</v>
      </c>
      <c r="G1760" s="2" t="str">
        <f t="shared" ca="1" si="0"/>
        <v>"University of Maine</v>
      </c>
      <c r="H1760" s="3" t="str">
        <f t="shared" ca="1" si="1"/>
        <v>University of Maine</v>
      </c>
      <c r="I1760" s="3" t="str">
        <f t="shared" ca="1" si="2"/>
        <v>'University of Maine',</v>
      </c>
    </row>
    <row r="1761" spans="1:9">
      <c r="A1761" s="1" t="s">
        <v>1759</v>
      </c>
      <c r="B1761" s="3" t="str">
        <f ca="1">IFERROR(__xludf.DUMMYFUNCTION("SPLIT(A1761,"","")"),"US")</f>
        <v>US</v>
      </c>
      <c r="C1761" s="3" t="str">
        <f ca="1">IFERROR(__xludf.DUMMYFUNCTION("""COMPUTED_VALUE"""),"University of Maine (System)")</f>
        <v>University of Maine (System)</v>
      </c>
      <c r="D1761" s="4" t="str">
        <f ca="1">IFERROR(__xludf.DUMMYFUNCTION("""COMPUTED_VALUE"""),"http://www.maine.edu/")</f>
        <v>http://www.maine.edu/</v>
      </c>
      <c r="G1761" s="2" t="str">
        <f t="shared" ca="1" si="0"/>
        <v>University of Maine (System)</v>
      </c>
      <c r="H1761" s="3" t="str">
        <f t="shared" ca="1" si="1"/>
        <v>University of Maine (System)</v>
      </c>
      <c r="I1761" s="3" t="str">
        <f t="shared" ca="1" si="2"/>
        <v>'University of Maine (System)',</v>
      </c>
    </row>
    <row r="1762" spans="1:9">
      <c r="A1762" s="1" t="s">
        <v>1760</v>
      </c>
      <c r="B1762" s="3" t="str">
        <f ca="1">IFERROR(__xludf.DUMMYFUNCTION("SPLIT(A1762,"","")"),"US")</f>
        <v>US</v>
      </c>
      <c r="C1762" s="3" t="str">
        <f ca="1">IFERROR(__xludf.DUMMYFUNCTION("""COMPUTED_VALUE"""),"University of Management &amp; Technology")</f>
        <v>University of Management &amp; Technology</v>
      </c>
      <c r="D1762" s="4" t="str">
        <f ca="1">IFERROR(__xludf.DUMMYFUNCTION("""COMPUTED_VALUE"""),"http://www.umtweb.edu/")</f>
        <v>http://www.umtweb.edu/</v>
      </c>
      <c r="G1762" s="2" t="str">
        <f t="shared" ca="1" si="0"/>
        <v>University of Management &amp; Technology</v>
      </c>
      <c r="H1762" s="3" t="str">
        <f t="shared" ca="1" si="1"/>
        <v>University of Management &amp; Technology</v>
      </c>
      <c r="I1762" s="3" t="str">
        <f t="shared" ca="1" si="2"/>
        <v>'University of Management &amp; Technology',</v>
      </c>
    </row>
    <row r="1763" spans="1:9">
      <c r="A1763" s="1" t="s">
        <v>1761</v>
      </c>
      <c r="B1763" s="3" t="str">
        <f ca="1">IFERROR(__xludf.DUMMYFUNCTION("SPLIT(A1763,"","")"),"US")</f>
        <v>US</v>
      </c>
      <c r="C1763" s="3" t="str">
        <f ca="1">IFERROR(__xludf.DUMMYFUNCTION("""COMPUTED_VALUE"""),"University of Mary")</f>
        <v>University of Mary</v>
      </c>
      <c r="D1763" s="4" t="str">
        <f ca="1">IFERROR(__xludf.DUMMYFUNCTION("""COMPUTED_VALUE"""),"http://www.umary.edu/")</f>
        <v>http://www.umary.edu/</v>
      </c>
      <c r="G1763" s="2" t="str">
        <f t="shared" ca="1" si="0"/>
        <v>University of Mary</v>
      </c>
      <c r="H1763" s="3" t="str">
        <f t="shared" ca="1" si="1"/>
        <v>University of Mary</v>
      </c>
      <c r="I1763" s="3" t="str">
        <f t="shared" ca="1" si="2"/>
        <v>'University of Mary',</v>
      </c>
    </row>
    <row r="1764" spans="1:9">
      <c r="A1764" s="1" t="s">
        <v>1762</v>
      </c>
      <c r="B1764" s="3" t="str">
        <f ca="1">IFERROR(__xludf.DUMMYFUNCTION("SPLIT(A1764,"","")"),"US")</f>
        <v>US</v>
      </c>
      <c r="C1764" s="3" t="str">
        <f ca="1">IFERROR(__xludf.DUMMYFUNCTION("""COMPUTED_VALUE"""),"University of Mary Hardin-Baylor")</f>
        <v>University of Mary Hardin-Baylor</v>
      </c>
      <c r="D1764" s="4" t="str">
        <f ca="1">IFERROR(__xludf.DUMMYFUNCTION("""COMPUTED_VALUE"""),"http://www.umhb.edu/")</f>
        <v>http://www.umhb.edu/</v>
      </c>
      <c r="G1764" s="2" t="str">
        <f t="shared" ca="1" si="0"/>
        <v>University of Mary Hardin-Baylor</v>
      </c>
      <c r="H1764" s="3" t="str">
        <f t="shared" ca="1" si="1"/>
        <v>University of Mary Hardin-Baylor</v>
      </c>
      <c r="I1764" s="3" t="str">
        <f t="shared" ca="1" si="2"/>
        <v>'University of Mary Hardin-Baylor',</v>
      </c>
    </row>
    <row r="1765" spans="1:9">
      <c r="A1765" s="1" t="s">
        <v>1763</v>
      </c>
      <c r="B1765" s="3" t="str">
        <f ca="1">IFERROR(__xludf.DUMMYFUNCTION("SPLIT(A1765,"","")"),"US")</f>
        <v>US</v>
      </c>
      <c r="C1765" s="3" t="str">
        <f ca="1">IFERROR(__xludf.DUMMYFUNCTION("""COMPUTED_VALUE"""),"University of Maryland at Baltimore")</f>
        <v>University of Maryland at Baltimore</v>
      </c>
      <c r="D1765" s="4" t="str">
        <f ca="1">IFERROR(__xludf.DUMMYFUNCTION("""COMPUTED_VALUE"""),"http://www.umbc.edu/")</f>
        <v>http://www.umbc.edu/</v>
      </c>
      <c r="G1765" s="2" t="str">
        <f t="shared" ca="1" si="0"/>
        <v>University of Maryland at Baltimore</v>
      </c>
      <c r="H1765" s="3" t="str">
        <f t="shared" ca="1" si="1"/>
        <v>University of Maryland at Baltimore</v>
      </c>
      <c r="I1765" s="3" t="str">
        <f t="shared" ca="1" si="2"/>
        <v>'University of Maryland at Baltimore',</v>
      </c>
    </row>
    <row r="1766" spans="1:9">
      <c r="A1766" s="1" t="s">
        <v>1764</v>
      </c>
      <c r="B1766" s="3" t="str">
        <f ca="1">IFERROR(__xludf.DUMMYFUNCTION("SPLIT(A1766,"","")"),"US")</f>
        <v>US</v>
      </c>
      <c r="C1766" s="3" t="str">
        <f ca="1">IFERROR(__xludf.DUMMYFUNCTION("""COMPUTED_VALUE"""),"University of Maryland at College Park")</f>
        <v>University of Maryland at College Park</v>
      </c>
      <c r="D1766" s="4" t="str">
        <f ca="1">IFERROR(__xludf.DUMMYFUNCTION("""COMPUTED_VALUE"""),"http://www.umd.edu/")</f>
        <v>http://www.umd.edu/</v>
      </c>
      <c r="G1766" s="2" t="str">
        <f t="shared" ca="1" si="0"/>
        <v>University of Maryland at College Park</v>
      </c>
      <c r="H1766" s="3" t="str">
        <f t="shared" ca="1" si="1"/>
        <v>University of Maryland at College Park</v>
      </c>
      <c r="I1766" s="3" t="str">
        <f t="shared" ca="1" si="2"/>
        <v>'University of Maryland at College Park',</v>
      </c>
    </row>
    <row r="1767" spans="1:9">
      <c r="A1767" s="1" t="s">
        <v>1765</v>
      </c>
      <c r="B1767" s="3" t="str">
        <f ca="1">IFERROR(__xludf.DUMMYFUNCTION("SPLIT(A1767,"","")"),"US")</f>
        <v>US</v>
      </c>
      <c r="C1767" s="3" t="str">
        <f ca="1">IFERROR(__xludf.DUMMYFUNCTION("""COMPUTED_VALUE"""),"University of Maryland Baltimore County")</f>
        <v>University of Maryland Baltimore County</v>
      </c>
      <c r="D1767" s="4" t="str">
        <f ca="1">IFERROR(__xludf.DUMMYFUNCTION("""COMPUTED_VALUE"""),"http://www.umbc.edu/")</f>
        <v>http://www.umbc.edu/</v>
      </c>
      <c r="G1767" s="2" t="str">
        <f t="shared" ca="1" si="0"/>
        <v>University of Maryland Baltimore County</v>
      </c>
      <c r="H1767" s="3" t="str">
        <f t="shared" ca="1" si="1"/>
        <v>University of Maryland Baltimore County</v>
      </c>
      <c r="I1767" s="3" t="str">
        <f t="shared" ca="1" si="2"/>
        <v>'University of Maryland Baltimore County',</v>
      </c>
    </row>
    <row r="1768" spans="1:9">
      <c r="A1768" s="1" t="s">
        <v>1766</v>
      </c>
      <c r="B1768" s="3" t="str">
        <f ca="1">IFERROR(__xludf.DUMMYFUNCTION("SPLIT(A1768,"","")"),"US")</f>
        <v>US</v>
      </c>
      <c r="C1768" s="3" t="str">
        <f ca="1">IFERROR(__xludf.DUMMYFUNCTION("""COMPUTED_VALUE"""),"University of Maryland Eastern Shore")</f>
        <v>University of Maryland Eastern Shore</v>
      </c>
      <c r="D1768" s="4" t="str">
        <f ca="1">IFERROR(__xludf.DUMMYFUNCTION("""COMPUTED_VALUE"""),"http://www.umes.edu/")</f>
        <v>http://www.umes.edu/</v>
      </c>
      <c r="G1768" s="2" t="str">
        <f t="shared" ca="1" si="0"/>
        <v>University of Maryland Eastern Shore</v>
      </c>
      <c r="H1768" s="3" t="str">
        <f t="shared" ca="1" si="1"/>
        <v>University of Maryland Eastern Shore</v>
      </c>
      <c r="I1768" s="3" t="str">
        <f t="shared" ca="1" si="2"/>
        <v>'University of Maryland Eastern Shore',</v>
      </c>
    </row>
    <row r="1769" spans="1:9">
      <c r="A1769" s="1" t="s">
        <v>1767</v>
      </c>
      <c r="B1769" s="3" t="str">
        <f ca="1">IFERROR(__xludf.DUMMYFUNCTION("SPLIT(A1769,"","")"),"US")</f>
        <v>US</v>
      </c>
      <c r="C1769" s="3" t="str">
        <f ca="1">IFERROR(__xludf.DUMMYFUNCTION("""COMPUTED_VALUE"""),"University of Maryland Medicine")</f>
        <v>University of Maryland Medicine</v>
      </c>
      <c r="D1769" s="4" t="str">
        <f ca="1">IFERROR(__xludf.DUMMYFUNCTION("""COMPUTED_VALUE"""),"http://www.umm.edu/")</f>
        <v>http://www.umm.edu/</v>
      </c>
      <c r="G1769" s="2" t="str">
        <f t="shared" ca="1" si="0"/>
        <v>University of Maryland Medicine</v>
      </c>
      <c r="H1769" s="3" t="str">
        <f t="shared" ca="1" si="1"/>
        <v>University of Maryland Medicine</v>
      </c>
      <c r="I1769" s="3" t="str">
        <f t="shared" ca="1" si="2"/>
        <v>'University of Maryland Medicine',</v>
      </c>
    </row>
    <row r="1770" spans="1:9">
      <c r="A1770" s="1" t="s">
        <v>1768</v>
      </c>
      <c r="B1770" s="3" t="str">
        <f ca="1">IFERROR(__xludf.DUMMYFUNCTION("SPLIT(A1770,"","")"),"US")</f>
        <v>US</v>
      </c>
      <c r="C1770" s="3" t="str">
        <f ca="1">IFERROR(__xludf.DUMMYFUNCTION("""COMPUTED_VALUE"""),"University of Maryland (System)")</f>
        <v>University of Maryland (System)</v>
      </c>
      <c r="D1770" s="4" t="str">
        <f ca="1">IFERROR(__xludf.DUMMYFUNCTION("""COMPUTED_VALUE"""),"http://www.ums.edu/")</f>
        <v>http://www.ums.edu/</v>
      </c>
      <c r="G1770" s="2" t="str">
        <f t="shared" ca="1" si="0"/>
        <v>University of Maryland (System)</v>
      </c>
      <c r="H1770" s="3" t="str">
        <f t="shared" ca="1" si="1"/>
        <v>University of Maryland (System)</v>
      </c>
      <c r="I1770" s="3" t="str">
        <f t="shared" ca="1" si="2"/>
        <v>'University of Maryland (System)',</v>
      </c>
    </row>
    <row r="1771" spans="1:9">
      <c r="A1771" s="1" t="s">
        <v>1769</v>
      </c>
      <c r="B1771" s="3" t="str">
        <f ca="1">IFERROR(__xludf.DUMMYFUNCTION("SPLIT(A1771,"","")"),"US")</f>
        <v>US</v>
      </c>
      <c r="C1771" s="3" t="str">
        <f ca="1">IFERROR(__xludf.DUMMYFUNCTION("""COMPUTED_VALUE"""),"University of Maryland University College")</f>
        <v>University of Maryland University College</v>
      </c>
      <c r="D1771" s="4" t="str">
        <f ca="1">IFERROR(__xludf.DUMMYFUNCTION("""COMPUTED_VALUE"""),"http://www.umuc.edu/")</f>
        <v>http://www.umuc.edu/</v>
      </c>
      <c r="G1771" s="2" t="str">
        <f t="shared" ca="1" si="0"/>
        <v>University of Maryland University College</v>
      </c>
      <c r="H1771" s="3" t="str">
        <f t="shared" ca="1" si="1"/>
        <v>University of Maryland University College</v>
      </c>
      <c r="I1771" s="3" t="str">
        <f t="shared" ca="1" si="2"/>
        <v>'University of Maryland University College',</v>
      </c>
    </row>
    <row r="1772" spans="1:9">
      <c r="A1772" s="1" t="s">
        <v>1770</v>
      </c>
      <c r="B1772" s="3" t="str">
        <f ca="1">IFERROR(__xludf.DUMMYFUNCTION("SPLIT(A1772,"","")"),"US")</f>
        <v>US</v>
      </c>
      <c r="C1772" s="3" t="str">
        <f ca="1">IFERROR(__xludf.DUMMYFUNCTION("""COMPUTED_VALUE"""),"University of Massachusetts at Amherst")</f>
        <v>University of Massachusetts at Amherst</v>
      </c>
      <c r="D1772" s="4" t="str">
        <f ca="1">IFERROR(__xludf.DUMMYFUNCTION("""COMPUTED_VALUE"""),"http://www.umass.edu/")</f>
        <v>http://www.umass.edu/</v>
      </c>
      <c r="G1772" s="2" t="str">
        <f t="shared" ca="1" si="0"/>
        <v>University of Massachusetts at Amherst</v>
      </c>
      <c r="H1772" s="3" t="str">
        <f t="shared" ca="1" si="1"/>
        <v>University of Massachusetts at Amherst</v>
      </c>
      <c r="I1772" s="3" t="str">
        <f t="shared" ca="1" si="2"/>
        <v>'University of Massachusetts at Amherst',</v>
      </c>
    </row>
    <row r="1773" spans="1:9">
      <c r="A1773" s="1" t="s">
        <v>1771</v>
      </c>
      <c r="B1773" s="3" t="str">
        <f ca="1">IFERROR(__xludf.DUMMYFUNCTION("SPLIT(A1773,"","")"),"US")</f>
        <v>US</v>
      </c>
      <c r="C1773" s="3" t="str">
        <f ca="1">IFERROR(__xludf.DUMMYFUNCTION("""COMPUTED_VALUE"""),"University of Massachusetts at Boston")</f>
        <v>University of Massachusetts at Boston</v>
      </c>
      <c r="D1773" s="4" t="str">
        <f ca="1">IFERROR(__xludf.DUMMYFUNCTION("""COMPUTED_VALUE"""),"http://www.umb.edu/")</f>
        <v>http://www.umb.edu/</v>
      </c>
      <c r="G1773" s="2" t="str">
        <f t="shared" ca="1" si="0"/>
        <v>University of Massachusetts at Boston</v>
      </c>
      <c r="H1773" s="3" t="str">
        <f t="shared" ca="1" si="1"/>
        <v>University of Massachusetts at Boston</v>
      </c>
      <c r="I1773" s="3" t="str">
        <f t="shared" ca="1" si="2"/>
        <v>'University of Massachusetts at Boston',</v>
      </c>
    </row>
    <row r="1774" spans="1:9">
      <c r="A1774" s="1" t="s">
        <v>1772</v>
      </c>
      <c r="B1774" s="3" t="str">
        <f ca="1">IFERROR(__xludf.DUMMYFUNCTION("SPLIT(A1774,"","")"),"US")</f>
        <v>US</v>
      </c>
      <c r="C1774" s="3" t="str">
        <f ca="1">IFERROR(__xludf.DUMMYFUNCTION("""COMPUTED_VALUE"""),"University of Massachusetts at Dartmouth")</f>
        <v>University of Massachusetts at Dartmouth</v>
      </c>
      <c r="D1774" s="4" t="str">
        <f ca="1">IFERROR(__xludf.DUMMYFUNCTION("""COMPUTED_VALUE"""),"http://www.umassd.edu/")</f>
        <v>http://www.umassd.edu/</v>
      </c>
      <c r="G1774" s="2" t="str">
        <f t="shared" ca="1" si="0"/>
        <v>University of Massachusetts at Dartmouth</v>
      </c>
      <c r="H1774" s="3" t="str">
        <f t="shared" ca="1" si="1"/>
        <v>University of Massachusetts at Dartmouth</v>
      </c>
      <c r="I1774" s="3" t="str">
        <f t="shared" ca="1" si="2"/>
        <v>'University of Massachusetts at Dartmouth',</v>
      </c>
    </row>
    <row r="1775" spans="1:9">
      <c r="A1775" s="1" t="s">
        <v>1773</v>
      </c>
      <c r="B1775" s="3" t="str">
        <f ca="1">IFERROR(__xludf.DUMMYFUNCTION("SPLIT(A1775,"","")"),"US")</f>
        <v>US</v>
      </c>
      <c r="C1775" s="3" t="str">
        <f ca="1">IFERROR(__xludf.DUMMYFUNCTION("""COMPUTED_VALUE"""),"University of Massachusetts at Lowell")</f>
        <v>University of Massachusetts at Lowell</v>
      </c>
      <c r="D1775" s="4" t="str">
        <f ca="1">IFERROR(__xludf.DUMMYFUNCTION("""COMPUTED_VALUE"""),"http://www.uml.edu/")</f>
        <v>http://www.uml.edu/</v>
      </c>
      <c r="G1775" s="2" t="str">
        <f t="shared" ca="1" si="0"/>
        <v>University of Massachusetts at Lowell</v>
      </c>
      <c r="H1775" s="3" t="str">
        <f t="shared" ca="1" si="1"/>
        <v>University of Massachusetts at Lowell</v>
      </c>
      <c r="I1775" s="3" t="str">
        <f t="shared" ca="1" si="2"/>
        <v>'University of Massachusetts at Lowell',</v>
      </c>
    </row>
    <row r="1776" spans="1:9">
      <c r="A1776" s="1" t="s">
        <v>1774</v>
      </c>
      <c r="B1776" s="3" t="str">
        <f ca="1">IFERROR(__xludf.DUMMYFUNCTION("SPLIT(A1776,"","")"),"US")</f>
        <v>US</v>
      </c>
      <c r="C1776" s="3" t="str">
        <f ca="1">IFERROR(__xludf.DUMMYFUNCTION("""COMPUTED_VALUE"""),"University of Massachusetts Medical Center at Worcester")</f>
        <v>University of Massachusetts Medical Center at Worcester</v>
      </c>
      <c r="D1776" s="4" t="str">
        <f ca="1">IFERROR(__xludf.DUMMYFUNCTION("""COMPUTED_VALUE"""),"http://www.ummed.edu/")</f>
        <v>http://www.ummed.edu/</v>
      </c>
      <c r="G1776" s="2" t="str">
        <f t="shared" ca="1" si="0"/>
        <v>University of Massachusetts Medical Center at Worcester</v>
      </c>
      <c r="H1776" s="3" t="str">
        <f t="shared" ca="1" si="1"/>
        <v>University of Massachusetts Medical Center at Worcester</v>
      </c>
      <c r="I1776" s="3" t="str">
        <f t="shared" ca="1" si="2"/>
        <v>'University of Massachusetts Medical Center at Worcester',</v>
      </c>
    </row>
    <row r="1777" spans="1:9">
      <c r="A1777" s="1" t="s">
        <v>1775</v>
      </c>
      <c r="B1777" s="3" t="str">
        <f ca="1">IFERROR(__xludf.DUMMYFUNCTION("SPLIT(A1777,"","")"),"US")</f>
        <v>US</v>
      </c>
      <c r="C1777" s="3" t="str">
        <f ca="1">IFERROR(__xludf.DUMMYFUNCTION("""COMPUTED_VALUE"""),"University of Massachusetts (System)")</f>
        <v>University of Massachusetts (System)</v>
      </c>
      <c r="D1777" s="4" t="str">
        <f ca="1">IFERROR(__xludf.DUMMYFUNCTION("""COMPUTED_VALUE"""),"http://www.massachusetts.edu/")</f>
        <v>http://www.massachusetts.edu/</v>
      </c>
      <c r="G1777" s="2" t="str">
        <f t="shared" ca="1" si="0"/>
        <v>University of Massachusetts (System)</v>
      </c>
      <c r="H1777" s="3" t="str">
        <f t="shared" ca="1" si="1"/>
        <v>University of Massachusetts (System)</v>
      </c>
      <c r="I1777" s="3" t="str">
        <f t="shared" ca="1" si="2"/>
        <v>'University of Massachusetts (System)',</v>
      </c>
    </row>
    <row r="1778" spans="1:9">
      <c r="A1778" s="1" t="s">
        <v>1776</v>
      </c>
      <c r="B1778" s="3" t="str">
        <f ca="1">IFERROR(__xludf.DUMMYFUNCTION("SPLIT(A1778,"","")"),"US")</f>
        <v>US</v>
      </c>
      <c r="C1778" s="3" t="str">
        <f ca="1">IFERROR(__xludf.DUMMYFUNCTION("""COMPUTED_VALUE"""),"University of Medicine and Dentistry of New Jersey")</f>
        <v>University of Medicine and Dentistry of New Jersey</v>
      </c>
      <c r="D1778" s="4" t="str">
        <f ca="1">IFERROR(__xludf.DUMMYFUNCTION("""COMPUTED_VALUE"""),"http://www.umdnj.edu/")</f>
        <v>http://www.umdnj.edu/</v>
      </c>
      <c r="G1778" s="2" t="str">
        <f t="shared" ca="1" si="0"/>
        <v>University of Medicine and Dentistry of New Jersey</v>
      </c>
      <c r="H1778" s="3" t="str">
        <f t="shared" ca="1" si="1"/>
        <v>University of Medicine and Dentistry of New Jersey</v>
      </c>
      <c r="I1778" s="3" t="str">
        <f t="shared" ca="1" si="2"/>
        <v>'University of Medicine and Dentistry of New Jersey',</v>
      </c>
    </row>
    <row r="1779" spans="1:9">
      <c r="A1779" s="1" t="s">
        <v>1777</v>
      </c>
      <c r="B1779" s="3" t="str">
        <f ca="1">IFERROR(__xludf.DUMMYFUNCTION("SPLIT(A1779,"","")"),"US")</f>
        <v>US</v>
      </c>
      <c r="C1779" s="3" t="str">
        <f ca="1">IFERROR(__xludf.DUMMYFUNCTION("""COMPUTED_VALUE"""),"University of Memphis")</f>
        <v>University of Memphis</v>
      </c>
      <c r="D1779" s="4" t="str">
        <f ca="1">IFERROR(__xludf.DUMMYFUNCTION("""COMPUTED_VALUE"""),"http://www.memphis.edu/")</f>
        <v>http://www.memphis.edu/</v>
      </c>
      <c r="G1779" s="2" t="str">
        <f t="shared" ca="1" si="0"/>
        <v>University of Memphis</v>
      </c>
      <c r="H1779" s="3" t="str">
        <f t="shared" ca="1" si="1"/>
        <v>University of Memphis</v>
      </c>
      <c r="I1779" s="3" t="str">
        <f t="shared" ca="1" si="2"/>
        <v>'University of Memphis',</v>
      </c>
    </row>
    <row r="1780" spans="1:9">
      <c r="A1780" s="1" t="s">
        <v>1778</v>
      </c>
      <c r="B1780" s="3" t="str">
        <f ca="1">IFERROR(__xludf.DUMMYFUNCTION("SPLIT(A1780,"","")"),"US")</f>
        <v>US</v>
      </c>
      <c r="C1780" s="3" t="str">
        <f ca="1">IFERROR(__xludf.DUMMYFUNCTION("""COMPUTED_VALUE"""),"University of Miami")</f>
        <v>University of Miami</v>
      </c>
      <c r="D1780" s="4" t="str">
        <f ca="1">IFERROR(__xludf.DUMMYFUNCTION("""COMPUTED_VALUE"""),"http://www.miami.edu/")</f>
        <v>http://www.miami.edu/</v>
      </c>
      <c r="G1780" s="2" t="str">
        <f t="shared" ca="1" si="0"/>
        <v>University of Miami</v>
      </c>
      <c r="H1780" s="3" t="str">
        <f t="shared" ca="1" si="1"/>
        <v>University of Miami</v>
      </c>
      <c r="I1780" s="3" t="str">
        <f t="shared" ca="1" si="2"/>
        <v>'University of Miami',</v>
      </c>
    </row>
    <row r="1781" spans="1:9">
      <c r="A1781" s="1" t="s">
        <v>1779</v>
      </c>
      <c r="B1781" s="3" t="str">
        <f ca="1">IFERROR(__xludf.DUMMYFUNCTION("SPLIT(A1781,"","")"),"US")</f>
        <v>US</v>
      </c>
      <c r="C1781" s="3" t="str">
        <f ca="1">IFERROR(__xludf.DUMMYFUNCTION("""COMPUTED_VALUE"""),"University of Michigan - Ann Arbor")</f>
        <v>University of Michigan - Ann Arbor</v>
      </c>
      <c r="D1781" s="4" t="str">
        <f ca="1">IFERROR(__xludf.DUMMYFUNCTION("""COMPUTED_VALUE"""),"http://www.umich.edu/")</f>
        <v>http://www.umich.edu/</v>
      </c>
      <c r="G1781" s="2" t="str">
        <f t="shared" ca="1" si="0"/>
        <v>University of Michigan - Ann Arbor</v>
      </c>
      <c r="H1781" s="3" t="str">
        <f t="shared" ca="1" si="1"/>
        <v>University of Michigan - Ann Arbor</v>
      </c>
      <c r="I1781" s="3" t="str">
        <f t="shared" ca="1" si="2"/>
        <v>'University of Michigan - Ann Arbor',</v>
      </c>
    </row>
    <row r="1782" spans="1:9">
      <c r="A1782" s="1" t="s">
        <v>1780</v>
      </c>
      <c r="B1782" s="3" t="str">
        <f ca="1">IFERROR(__xludf.DUMMYFUNCTION("SPLIT(A1782,"","")"),"US")</f>
        <v>US</v>
      </c>
      <c r="C1782" s="3" t="str">
        <f ca="1">IFERROR(__xludf.DUMMYFUNCTION("""COMPUTED_VALUE"""),"University of Michigan - Dearborn")</f>
        <v>University of Michigan - Dearborn</v>
      </c>
      <c r="D1782" s="4" t="str">
        <f ca="1">IFERROR(__xludf.DUMMYFUNCTION("""COMPUTED_VALUE"""),"http://www.umd.umich.edu/")</f>
        <v>http://www.umd.umich.edu/</v>
      </c>
      <c r="G1782" s="2" t="str">
        <f t="shared" ca="1" si="0"/>
        <v>University of Michigan - Dearborn</v>
      </c>
      <c r="H1782" s="3" t="str">
        <f t="shared" ca="1" si="1"/>
        <v>University of Michigan - Dearborn</v>
      </c>
      <c r="I1782" s="3" t="str">
        <f t="shared" ca="1" si="2"/>
        <v>'University of Michigan - Dearborn',</v>
      </c>
    </row>
    <row r="1783" spans="1:9">
      <c r="A1783" s="1" t="s">
        <v>1781</v>
      </c>
      <c r="B1783" s="3" t="str">
        <f ca="1">IFERROR(__xludf.DUMMYFUNCTION("SPLIT(A1783,"","")"),"US")</f>
        <v>US</v>
      </c>
      <c r="C1783" s="3" t="str">
        <f ca="1">IFERROR(__xludf.DUMMYFUNCTION("""COMPUTED_VALUE"""),"University of Michigan - Flint")</f>
        <v>University of Michigan - Flint</v>
      </c>
      <c r="D1783" s="4" t="str">
        <f ca="1">IFERROR(__xludf.DUMMYFUNCTION("""COMPUTED_VALUE"""),"http://www.flint.umich.edu/")</f>
        <v>http://www.flint.umich.edu/</v>
      </c>
      <c r="G1783" s="2" t="str">
        <f t="shared" ca="1" si="0"/>
        <v>University of Michigan - Flint</v>
      </c>
      <c r="H1783" s="3" t="str">
        <f t="shared" ca="1" si="1"/>
        <v>University of Michigan - Flint</v>
      </c>
      <c r="I1783" s="3" t="str">
        <f t="shared" ca="1" si="2"/>
        <v>'University of Michigan - Flint',</v>
      </c>
    </row>
    <row r="1784" spans="1:9">
      <c r="A1784" s="1" t="s">
        <v>1782</v>
      </c>
      <c r="B1784" s="3" t="str">
        <f ca="1">IFERROR(__xludf.DUMMYFUNCTION("SPLIT(A1784,"","")"),"US")</f>
        <v>US</v>
      </c>
      <c r="C1784" s="3" t="str">
        <f ca="1">IFERROR(__xludf.DUMMYFUNCTION("""COMPUTED_VALUE"""),"University of Minnesota - Crookston")</f>
        <v>University of Minnesota - Crookston</v>
      </c>
      <c r="D1784" s="4" t="str">
        <f ca="1">IFERROR(__xludf.DUMMYFUNCTION("""COMPUTED_VALUE"""),"http://www.crk.umn.edu/")</f>
        <v>http://www.crk.umn.edu/</v>
      </c>
      <c r="G1784" s="2" t="str">
        <f t="shared" ca="1" si="0"/>
        <v>University of Minnesota - Crookston</v>
      </c>
      <c r="H1784" s="3" t="str">
        <f t="shared" ca="1" si="1"/>
        <v>University of Minnesota - Crookston</v>
      </c>
      <c r="I1784" s="3" t="str">
        <f t="shared" ca="1" si="2"/>
        <v>'University of Minnesota - Crookston',</v>
      </c>
    </row>
    <row r="1785" spans="1:9">
      <c r="A1785" s="1" t="s">
        <v>1783</v>
      </c>
      <c r="B1785" s="3" t="str">
        <f ca="1">IFERROR(__xludf.DUMMYFUNCTION("SPLIT(A1785,"","")"),"US")</f>
        <v>US</v>
      </c>
      <c r="C1785" s="3" t="str">
        <f ca="1">IFERROR(__xludf.DUMMYFUNCTION("""COMPUTED_VALUE"""),"University of Minnesota - Duluth")</f>
        <v>University of Minnesota - Duluth</v>
      </c>
      <c r="D1785" s="4" t="str">
        <f ca="1">IFERROR(__xludf.DUMMYFUNCTION("""COMPUTED_VALUE"""),"http://www.d.umn.edu/")</f>
        <v>http://www.d.umn.edu/</v>
      </c>
      <c r="G1785" s="2" t="str">
        <f t="shared" ca="1" si="0"/>
        <v>University of Minnesota - Duluth</v>
      </c>
      <c r="H1785" s="3" t="str">
        <f t="shared" ca="1" si="1"/>
        <v>University of Minnesota - Duluth</v>
      </c>
      <c r="I1785" s="3" t="str">
        <f t="shared" ca="1" si="2"/>
        <v>'University of Minnesota - Duluth',</v>
      </c>
    </row>
    <row r="1786" spans="1:9">
      <c r="A1786" s="1" t="s">
        <v>1784</v>
      </c>
      <c r="B1786" s="3" t="str">
        <f ca="1">IFERROR(__xludf.DUMMYFUNCTION("SPLIT(A1786,"","")"),"US")</f>
        <v>US</v>
      </c>
      <c r="C1786" s="3" t="str">
        <f ca="1">IFERROR(__xludf.DUMMYFUNCTION("""COMPUTED_VALUE"""),"University of Minnesota - Morris")</f>
        <v>University of Minnesota - Morris</v>
      </c>
      <c r="D1786" s="4" t="str">
        <f ca="1">IFERROR(__xludf.DUMMYFUNCTION("""COMPUTED_VALUE"""),"http://www.mrs.umn.edu/")</f>
        <v>http://www.mrs.umn.edu/</v>
      </c>
      <c r="G1786" s="2" t="str">
        <f t="shared" ca="1" si="0"/>
        <v>University of Minnesota - Morris</v>
      </c>
      <c r="H1786" s="3" t="str">
        <f t="shared" ca="1" si="1"/>
        <v>University of Minnesota - Morris</v>
      </c>
      <c r="I1786" s="3" t="str">
        <f t="shared" ca="1" si="2"/>
        <v>'University of Minnesota - Morris',</v>
      </c>
    </row>
    <row r="1787" spans="1:9">
      <c r="A1787" s="1" t="s">
        <v>1785</v>
      </c>
      <c r="B1787" s="3" t="str">
        <f ca="1">IFERROR(__xludf.DUMMYFUNCTION("SPLIT(A1787,"","")"),"US")</f>
        <v>US</v>
      </c>
      <c r="C1787" s="3" t="str">
        <f ca="1">IFERROR(__xludf.DUMMYFUNCTION("""COMPUTED_VALUE"""),"University of Minnesota - Twin Cities Campus")</f>
        <v>University of Minnesota - Twin Cities Campus</v>
      </c>
      <c r="D1787" s="4" t="str">
        <f ca="1">IFERROR(__xludf.DUMMYFUNCTION("""COMPUTED_VALUE"""),"http://www1.umn.edu/twincities/")</f>
        <v>http://www1.umn.edu/twincities/</v>
      </c>
      <c r="G1787" s="2" t="str">
        <f t="shared" ca="1" si="0"/>
        <v>University of Minnesota - Twin Cities Campus</v>
      </c>
      <c r="H1787" s="3" t="str">
        <f t="shared" ca="1" si="1"/>
        <v>University of Minnesota - Twin Cities Campus</v>
      </c>
      <c r="I1787" s="3" t="str">
        <f t="shared" ca="1" si="2"/>
        <v>'University of Minnesota - Twin Cities Campus',</v>
      </c>
    </row>
    <row r="1788" spans="1:9">
      <c r="A1788" s="1" t="s">
        <v>1786</v>
      </c>
      <c r="B1788" s="3" t="str">
        <f ca="1">IFERROR(__xludf.DUMMYFUNCTION("SPLIT(A1788,"","")"),"US")</f>
        <v>US</v>
      </c>
      <c r="C1788" s="3" t="str">
        <f ca="1">IFERROR(__xludf.DUMMYFUNCTION("""COMPUTED_VALUE"""),"University of Mississippi")</f>
        <v>University of Mississippi</v>
      </c>
      <c r="D1788" s="4" t="str">
        <f ca="1">IFERROR(__xludf.DUMMYFUNCTION("""COMPUTED_VALUE"""),"http://www.olemiss.edu/")</f>
        <v>http://www.olemiss.edu/</v>
      </c>
      <c r="G1788" s="2" t="str">
        <f t="shared" ca="1" si="0"/>
        <v>University of Mississippi</v>
      </c>
      <c r="H1788" s="3" t="str">
        <f t="shared" ca="1" si="1"/>
        <v>University of Mississippi</v>
      </c>
      <c r="I1788" s="3" t="str">
        <f t="shared" ca="1" si="2"/>
        <v>'University of Mississippi',</v>
      </c>
    </row>
    <row r="1789" spans="1:9">
      <c r="A1789" s="1" t="s">
        <v>1787</v>
      </c>
      <c r="B1789" s="3" t="str">
        <f ca="1">IFERROR(__xludf.DUMMYFUNCTION("SPLIT(A1789,"","")"),"US")</f>
        <v>US</v>
      </c>
      <c r="C1789" s="3" t="str">
        <f ca="1">IFERROR(__xludf.DUMMYFUNCTION("""COMPUTED_VALUE"""),"University of Mississippi Medical Center")</f>
        <v>University of Mississippi Medical Center</v>
      </c>
      <c r="D1789" s="4" t="str">
        <f ca="1">IFERROR(__xludf.DUMMYFUNCTION("""COMPUTED_VALUE"""),"http://www.umc.edu/")</f>
        <v>http://www.umc.edu/</v>
      </c>
      <c r="G1789" s="2" t="str">
        <f t="shared" ca="1" si="0"/>
        <v>University of Mississippi Medical Center</v>
      </c>
      <c r="H1789" s="3" t="str">
        <f t="shared" ca="1" si="1"/>
        <v>University of Mississippi Medical Center</v>
      </c>
      <c r="I1789" s="3" t="str">
        <f t="shared" ca="1" si="2"/>
        <v>'University of Mississippi Medical Center',</v>
      </c>
    </row>
    <row r="1790" spans="1:9">
      <c r="A1790" s="1" t="s">
        <v>1788</v>
      </c>
      <c r="B1790" s="3" t="str">
        <f ca="1">IFERROR(__xludf.DUMMYFUNCTION("SPLIT(A1790,"","")"),"US")</f>
        <v>US</v>
      </c>
      <c r="C1790" s="3" t="str">
        <f ca="1">IFERROR(__xludf.DUMMYFUNCTION("""COMPUTED_VALUE"""),"University of Missouri - Columbia")</f>
        <v>University of Missouri - Columbia</v>
      </c>
      <c r="D1790" s="4" t="str">
        <f ca="1">IFERROR(__xludf.DUMMYFUNCTION("""COMPUTED_VALUE"""),"http://www.missouri.edu/")</f>
        <v>http://www.missouri.edu/</v>
      </c>
      <c r="G1790" s="2" t="str">
        <f t="shared" ca="1" si="0"/>
        <v>University of Missouri - Columbia</v>
      </c>
      <c r="H1790" s="3" t="str">
        <f t="shared" ca="1" si="1"/>
        <v>University of Missouri - Columbia</v>
      </c>
      <c r="I1790" s="3" t="str">
        <f t="shared" ca="1" si="2"/>
        <v>'University of Missouri - Columbia',</v>
      </c>
    </row>
    <row r="1791" spans="1:9">
      <c r="A1791" s="1" t="s">
        <v>1789</v>
      </c>
      <c r="B1791" s="3" t="str">
        <f ca="1">IFERROR(__xludf.DUMMYFUNCTION("SPLIT(A1791,"","")"),"US")</f>
        <v>US</v>
      </c>
      <c r="C1791" s="3" t="str">
        <f ca="1">IFERROR(__xludf.DUMMYFUNCTION("""COMPUTED_VALUE"""),"University of Missouri - Kansas City")</f>
        <v>University of Missouri - Kansas City</v>
      </c>
      <c r="D1791" s="4" t="str">
        <f ca="1">IFERROR(__xludf.DUMMYFUNCTION("""COMPUTED_VALUE"""),"http://www.umkc.edu/")</f>
        <v>http://www.umkc.edu/</v>
      </c>
      <c r="G1791" s="2" t="str">
        <f t="shared" ca="1" si="0"/>
        <v>University of Missouri - Kansas City</v>
      </c>
      <c r="H1791" s="3" t="str">
        <f t="shared" ca="1" si="1"/>
        <v>University of Missouri - Kansas City</v>
      </c>
      <c r="I1791" s="3" t="str">
        <f t="shared" ca="1" si="2"/>
        <v>'University of Missouri - Kansas City',</v>
      </c>
    </row>
    <row r="1792" spans="1:9">
      <c r="A1792" s="1" t="s">
        <v>1790</v>
      </c>
      <c r="B1792" s="3" t="str">
        <f ca="1">IFERROR(__xludf.DUMMYFUNCTION("SPLIT(A1792,"","")"),"US")</f>
        <v>US</v>
      </c>
      <c r="C1792" s="3" t="str">
        <f ca="1">IFERROR(__xludf.DUMMYFUNCTION("""COMPUTED_VALUE"""),"University of Missouri - Saint Louis")</f>
        <v>University of Missouri - Saint Louis</v>
      </c>
      <c r="D1792" s="4" t="str">
        <f ca="1">IFERROR(__xludf.DUMMYFUNCTION("""COMPUTED_VALUE"""),"http://www.umsl.edu/")</f>
        <v>http://www.umsl.edu/</v>
      </c>
      <c r="G1792" s="2" t="str">
        <f t="shared" ca="1" si="0"/>
        <v>University of Missouri - Saint Louis</v>
      </c>
      <c r="H1792" s="3" t="str">
        <f t="shared" ca="1" si="1"/>
        <v>University of Missouri - Saint Louis</v>
      </c>
      <c r="I1792" s="3" t="str">
        <f t="shared" ca="1" si="2"/>
        <v>'University of Missouri - Saint Louis',</v>
      </c>
    </row>
    <row r="1793" spans="1:9">
      <c r="A1793" s="1" t="s">
        <v>1791</v>
      </c>
      <c r="B1793" s="3" t="str">
        <f ca="1">IFERROR(__xludf.DUMMYFUNCTION("SPLIT(A1793,"","")"),"US")</f>
        <v>US</v>
      </c>
      <c r="C1793" s="3" t="str">
        <f ca="1">IFERROR(__xludf.DUMMYFUNCTION("""COMPUTED_VALUE"""),"University of Mobile")</f>
        <v>University of Mobile</v>
      </c>
      <c r="D1793" s="4" t="str">
        <f ca="1">IFERROR(__xludf.DUMMYFUNCTION("""COMPUTED_VALUE"""),"http://www.umobile.edu/")</f>
        <v>http://www.umobile.edu/</v>
      </c>
      <c r="G1793" s="2" t="str">
        <f t="shared" ca="1" si="0"/>
        <v>University of Mobile</v>
      </c>
      <c r="H1793" s="3" t="str">
        <f t="shared" ca="1" si="1"/>
        <v>University of Mobile</v>
      </c>
      <c r="I1793" s="3" t="str">
        <f t="shared" ca="1" si="2"/>
        <v>'University of Mobile',</v>
      </c>
    </row>
    <row r="1794" spans="1:9">
      <c r="A1794" s="1" t="s">
        <v>1792</v>
      </c>
      <c r="B1794" s="3" t="str">
        <f ca="1">IFERROR(__xludf.DUMMYFUNCTION("SPLIT(A1794,"","")"),"US")</f>
        <v>US</v>
      </c>
      <c r="C1794" s="3" t="str">
        <f ca="1">IFERROR(__xludf.DUMMYFUNCTION("""COMPUTED_VALUE"""),"University of Montana")</f>
        <v>University of Montana</v>
      </c>
      <c r="D1794" s="4" t="str">
        <f ca="1">IFERROR(__xludf.DUMMYFUNCTION("""COMPUTED_VALUE"""),"http://www.umt.edu/")</f>
        <v>http://www.umt.edu/</v>
      </c>
      <c r="G1794" s="2" t="str">
        <f t="shared" ca="1" si="0"/>
        <v>University of Montana</v>
      </c>
      <c r="H1794" s="3" t="str">
        <f t="shared" ca="1" si="1"/>
        <v>University of Montana</v>
      </c>
      <c r="I1794" s="3" t="str">
        <f t="shared" ca="1" si="2"/>
        <v>'University of Montana',</v>
      </c>
    </row>
    <row r="1795" spans="1:9">
      <c r="A1795" s="1" t="s">
        <v>1793</v>
      </c>
      <c r="B1795" s="3" t="str">
        <f ca="1">IFERROR(__xludf.DUMMYFUNCTION("SPLIT(A1795,"","")"),"US")</f>
        <v>US</v>
      </c>
      <c r="C1795" s="3" t="str">
        <f ca="1">IFERROR(__xludf.DUMMYFUNCTION("""COMPUTED_VALUE"""),"University of Montana Western")</f>
        <v>University of Montana Western</v>
      </c>
      <c r="D1795" s="4" t="str">
        <f ca="1">IFERROR(__xludf.DUMMYFUNCTION("""COMPUTED_VALUE"""),"http://www.umwestern.edu/")</f>
        <v>http://www.umwestern.edu/</v>
      </c>
      <c r="G1795" s="2" t="str">
        <f t="shared" ca="1" si="0"/>
        <v>University of Montana Western</v>
      </c>
      <c r="H1795" s="3" t="str">
        <f t="shared" ca="1" si="1"/>
        <v>University of Montana Western</v>
      </c>
      <c r="I1795" s="3" t="str">
        <f t="shared" ca="1" si="2"/>
        <v>'University of Montana Western',</v>
      </c>
    </row>
    <row r="1796" spans="1:9">
      <c r="A1796" s="1" t="s">
        <v>1794</v>
      </c>
      <c r="B1796" s="3" t="str">
        <f ca="1">IFERROR(__xludf.DUMMYFUNCTION("SPLIT(A1796,"","")"),"US")</f>
        <v>US</v>
      </c>
      <c r="C1796" s="3" t="str">
        <f ca="1">IFERROR(__xludf.DUMMYFUNCTION("""COMPUTED_VALUE"""),"University of Montevallo")</f>
        <v>University of Montevallo</v>
      </c>
      <c r="D1796" s="4" t="str">
        <f ca="1">IFERROR(__xludf.DUMMYFUNCTION("""COMPUTED_VALUE"""),"http://www.montevallo.edu/")</f>
        <v>http://www.montevallo.edu/</v>
      </c>
      <c r="G1796" s="2" t="str">
        <f t="shared" ca="1" si="0"/>
        <v>University of Montevallo</v>
      </c>
      <c r="H1796" s="3" t="str">
        <f t="shared" ca="1" si="1"/>
        <v>University of Montevallo</v>
      </c>
      <c r="I1796" s="3" t="str">
        <f t="shared" ca="1" si="2"/>
        <v>'University of Montevallo',</v>
      </c>
    </row>
    <row r="1797" spans="1:9">
      <c r="A1797" s="1" t="s">
        <v>1795</v>
      </c>
      <c r="B1797" s="3" t="str">
        <f ca="1">IFERROR(__xludf.DUMMYFUNCTION("SPLIT(A1797,"","")"),"US")</f>
        <v>US</v>
      </c>
      <c r="C1797" s="3" t="str">
        <f ca="1">IFERROR(__xludf.DUMMYFUNCTION("""COMPUTED_VALUE"""),"University of Nebraska - Kearney")</f>
        <v>University of Nebraska - Kearney</v>
      </c>
      <c r="D1797" s="4" t="str">
        <f ca="1">IFERROR(__xludf.DUMMYFUNCTION("""COMPUTED_VALUE"""),"http://www.unk.edu/")</f>
        <v>http://www.unk.edu/</v>
      </c>
      <c r="G1797" s="2" t="str">
        <f t="shared" ca="1" si="0"/>
        <v>University of Nebraska - Kearney</v>
      </c>
      <c r="H1797" s="3" t="str">
        <f t="shared" ca="1" si="1"/>
        <v>University of Nebraska - Kearney</v>
      </c>
      <c r="I1797" s="3" t="str">
        <f t="shared" ca="1" si="2"/>
        <v>'University of Nebraska - Kearney',</v>
      </c>
    </row>
    <row r="1798" spans="1:9">
      <c r="A1798" s="1" t="s">
        <v>1796</v>
      </c>
      <c r="B1798" s="3" t="str">
        <f ca="1">IFERROR(__xludf.DUMMYFUNCTION("SPLIT(A1798,"","")"),"US")</f>
        <v>US</v>
      </c>
      <c r="C1798" s="3" t="str">
        <f ca="1">IFERROR(__xludf.DUMMYFUNCTION("""COMPUTED_VALUE"""),"University of Nebraska - Lincoln")</f>
        <v>University of Nebraska - Lincoln</v>
      </c>
      <c r="D1798" s="4" t="str">
        <f ca="1">IFERROR(__xludf.DUMMYFUNCTION("""COMPUTED_VALUE"""),"http://www.unl.edu/")</f>
        <v>http://www.unl.edu/</v>
      </c>
      <c r="G1798" s="2" t="str">
        <f t="shared" ca="1" si="0"/>
        <v>University of Nebraska - Lincoln</v>
      </c>
      <c r="H1798" s="3" t="str">
        <f t="shared" ca="1" si="1"/>
        <v>University of Nebraska - Lincoln</v>
      </c>
      <c r="I1798" s="3" t="str">
        <f t="shared" ca="1" si="2"/>
        <v>'University of Nebraska - Lincoln',</v>
      </c>
    </row>
    <row r="1799" spans="1:9">
      <c r="A1799" s="1" t="s">
        <v>1797</v>
      </c>
      <c r="B1799" s="3" t="str">
        <f ca="1">IFERROR(__xludf.DUMMYFUNCTION("SPLIT(A1799,"","")"),"US")</f>
        <v>US</v>
      </c>
      <c r="C1799" s="3" t="str">
        <f ca="1">IFERROR(__xludf.DUMMYFUNCTION("""COMPUTED_VALUE"""),"University of Nebraska Medical Center")</f>
        <v>University of Nebraska Medical Center</v>
      </c>
      <c r="D1799" s="4" t="str">
        <f ca="1">IFERROR(__xludf.DUMMYFUNCTION("""COMPUTED_VALUE"""),"http://www.unmc.edu/")</f>
        <v>http://www.unmc.edu/</v>
      </c>
      <c r="G1799" s="2" t="str">
        <f t="shared" ca="1" si="0"/>
        <v>University of Nebraska Medical Center</v>
      </c>
      <c r="H1799" s="3" t="str">
        <f t="shared" ca="1" si="1"/>
        <v>University of Nebraska Medical Center</v>
      </c>
      <c r="I1799" s="3" t="str">
        <f t="shared" ca="1" si="2"/>
        <v>'University of Nebraska Medical Center',</v>
      </c>
    </row>
    <row r="1800" spans="1:9">
      <c r="A1800" s="1" t="s">
        <v>1798</v>
      </c>
      <c r="B1800" s="3" t="str">
        <f ca="1">IFERROR(__xludf.DUMMYFUNCTION("SPLIT(A1800,"","")"),"US")</f>
        <v>US</v>
      </c>
      <c r="C1800" s="3" t="str">
        <f ca="1">IFERROR(__xludf.DUMMYFUNCTION("""COMPUTED_VALUE"""),"University of Nebraska - Omaha")</f>
        <v>University of Nebraska - Omaha</v>
      </c>
      <c r="D1800" s="4" t="str">
        <f ca="1">IFERROR(__xludf.DUMMYFUNCTION("""COMPUTED_VALUE"""),"http://www.unomaha.edu/")</f>
        <v>http://www.unomaha.edu/</v>
      </c>
      <c r="G1800" s="2" t="str">
        <f t="shared" ca="1" si="0"/>
        <v>University of Nebraska - Omaha</v>
      </c>
      <c r="H1800" s="3" t="str">
        <f t="shared" ca="1" si="1"/>
        <v>University of Nebraska - Omaha</v>
      </c>
      <c r="I1800" s="3" t="str">
        <f t="shared" ca="1" si="2"/>
        <v>'University of Nebraska - Omaha',</v>
      </c>
    </row>
    <row r="1801" spans="1:9">
      <c r="A1801" s="1" t="s">
        <v>1799</v>
      </c>
      <c r="B1801" s="3" t="str">
        <f ca="1">IFERROR(__xludf.DUMMYFUNCTION("SPLIT(A1801,"","")"),"US")</f>
        <v>US</v>
      </c>
      <c r="C1801" s="3" t="str">
        <f ca="1">IFERROR(__xludf.DUMMYFUNCTION("""COMPUTED_VALUE"""),"University of Nebraska (System)")</f>
        <v>University of Nebraska (System)</v>
      </c>
      <c r="D1801" s="4" t="str">
        <f ca="1">IFERROR(__xludf.DUMMYFUNCTION("""COMPUTED_VALUE"""),"http://www.nebraska.edu/")</f>
        <v>http://www.nebraska.edu/</v>
      </c>
      <c r="G1801" s="2" t="str">
        <f t="shared" ca="1" si="0"/>
        <v>University of Nebraska (System)</v>
      </c>
      <c r="H1801" s="3" t="str">
        <f t="shared" ca="1" si="1"/>
        <v>University of Nebraska (System)</v>
      </c>
      <c r="I1801" s="3" t="str">
        <f t="shared" ca="1" si="2"/>
        <v>'University of Nebraska (System)',</v>
      </c>
    </row>
    <row r="1802" spans="1:9">
      <c r="A1802" s="1" t="s">
        <v>1800</v>
      </c>
      <c r="B1802" s="3" t="str">
        <f ca="1">IFERROR(__xludf.DUMMYFUNCTION("SPLIT(A1802,"","")"),"US")</f>
        <v>US</v>
      </c>
      <c r="C1802" s="3" t="str">
        <f ca="1">IFERROR(__xludf.DUMMYFUNCTION("""COMPUTED_VALUE"""),"University of Nevada - Las Vegas")</f>
        <v>University of Nevada - Las Vegas</v>
      </c>
      <c r="D1802" s="4" t="str">
        <f ca="1">IFERROR(__xludf.DUMMYFUNCTION("""COMPUTED_VALUE"""),"http://www.unlv.edu/")</f>
        <v>http://www.unlv.edu/</v>
      </c>
      <c r="G1802" s="2" t="str">
        <f t="shared" ca="1" si="0"/>
        <v>University of Nevada - Las Vegas</v>
      </c>
      <c r="H1802" s="3" t="str">
        <f t="shared" ca="1" si="1"/>
        <v>University of Nevada - Las Vegas</v>
      </c>
      <c r="I1802" s="3" t="str">
        <f t="shared" ca="1" si="2"/>
        <v>'University of Nevada - Las Vegas',</v>
      </c>
    </row>
    <row r="1803" spans="1:9">
      <c r="A1803" s="1" t="s">
        <v>1801</v>
      </c>
      <c r="B1803" s="3" t="str">
        <f ca="1">IFERROR(__xludf.DUMMYFUNCTION("SPLIT(A1803,"","")"),"US")</f>
        <v>US</v>
      </c>
      <c r="C1803" s="3" t="str">
        <f ca="1">IFERROR(__xludf.DUMMYFUNCTION("""COMPUTED_VALUE"""),"University of Nevada - Reno")</f>
        <v>University of Nevada - Reno</v>
      </c>
      <c r="D1803" s="4" t="str">
        <f ca="1">IFERROR(__xludf.DUMMYFUNCTION("""COMPUTED_VALUE"""),"http://www.unr.edu/")</f>
        <v>http://www.unr.edu/</v>
      </c>
      <c r="G1803" s="2" t="str">
        <f t="shared" ca="1" si="0"/>
        <v>University of Nevada - Reno</v>
      </c>
      <c r="H1803" s="3" t="str">
        <f t="shared" ca="1" si="1"/>
        <v>University of Nevada - Reno</v>
      </c>
      <c r="I1803" s="3" t="str">
        <f t="shared" ca="1" si="2"/>
        <v>'University of Nevada - Reno',</v>
      </c>
    </row>
    <row r="1804" spans="1:9">
      <c r="A1804" s="1" t="s">
        <v>1802</v>
      </c>
      <c r="B1804" s="3" t="str">
        <f ca="1">IFERROR(__xludf.DUMMYFUNCTION("SPLIT(A1804,"","")"),"US")</f>
        <v>US</v>
      </c>
      <c r="C1804" s="3" t="str">
        <f ca="1">IFERROR(__xludf.DUMMYFUNCTION("""COMPUTED_VALUE"""),"University of New England")</f>
        <v>University of New England</v>
      </c>
      <c r="D1804" s="4" t="str">
        <f ca="1">IFERROR(__xludf.DUMMYFUNCTION("""COMPUTED_VALUE"""),"http://www.une.edu/")</f>
        <v>http://www.une.edu/</v>
      </c>
      <c r="G1804" s="2" t="str">
        <f t="shared" ca="1" si="0"/>
        <v>University of New England</v>
      </c>
      <c r="H1804" s="3" t="str">
        <f t="shared" ca="1" si="1"/>
        <v>University of New England</v>
      </c>
      <c r="I1804" s="3" t="str">
        <f t="shared" ca="1" si="2"/>
        <v>'University of New England',</v>
      </c>
    </row>
    <row r="1805" spans="1:9">
      <c r="A1805" s="1" t="s">
        <v>1803</v>
      </c>
      <c r="B1805" s="3" t="str">
        <f ca="1">IFERROR(__xludf.DUMMYFUNCTION("SPLIT(A1805,"","")"),"US")</f>
        <v>US</v>
      </c>
      <c r="C1805" s="3" t="str">
        <f ca="1">IFERROR(__xludf.DUMMYFUNCTION("""COMPUTED_VALUE"""),"""University of New England")</f>
        <v>"University of New England</v>
      </c>
      <c r="D1805" s="3" t="str">
        <f ca="1">IFERROR(__xludf.DUMMYFUNCTION("""COMPUTED_VALUE""")," Westbrook College Campus""")</f>
        <v xml:space="preserve"> Westbrook College Campus"</v>
      </c>
      <c r="E1805" s="4" t="str">
        <f ca="1">IFERROR(__xludf.DUMMYFUNCTION("""COMPUTED_VALUE"""),"http://www.une.edu/wcdirctn.html")</f>
        <v>http://www.une.edu/wcdirctn.html</v>
      </c>
      <c r="G1805" s="2" t="str">
        <f t="shared" ca="1" si="0"/>
        <v>"University of New England</v>
      </c>
      <c r="H1805" s="3" t="str">
        <f t="shared" ca="1" si="1"/>
        <v>University of New England</v>
      </c>
      <c r="I1805" s="3" t="str">
        <f t="shared" ca="1" si="2"/>
        <v>'University of New England',</v>
      </c>
    </row>
    <row r="1806" spans="1:9">
      <c r="A1806" s="1" t="s">
        <v>1804</v>
      </c>
      <c r="B1806" s="3" t="str">
        <f ca="1">IFERROR(__xludf.DUMMYFUNCTION("SPLIT(A1806,"","")"),"US")</f>
        <v>US</v>
      </c>
      <c r="C1806" s="3" t="str">
        <f ca="1">IFERROR(__xludf.DUMMYFUNCTION("""COMPUTED_VALUE"""),"University of New Hampshire")</f>
        <v>University of New Hampshire</v>
      </c>
      <c r="D1806" s="4" t="str">
        <f ca="1">IFERROR(__xludf.DUMMYFUNCTION("""COMPUTED_VALUE"""),"http://www.unh.edu/")</f>
        <v>http://www.unh.edu/</v>
      </c>
      <c r="G1806" s="2" t="str">
        <f t="shared" ca="1" si="0"/>
        <v>University of New Hampshire</v>
      </c>
      <c r="H1806" s="3" t="str">
        <f t="shared" ca="1" si="1"/>
        <v>University of New Hampshire</v>
      </c>
      <c r="I1806" s="3" t="str">
        <f t="shared" ca="1" si="2"/>
        <v>'University of New Hampshire',</v>
      </c>
    </row>
    <row r="1807" spans="1:9">
      <c r="A1807" s="1" t="s">
        <v>1805</v>
      </c>
      <c r="B1807" s="3" t="str">
        <f ca="1">IFERROR(__xludf.DUMMYFUNCTION("SPLIT(A1807,"","")"),"US")</f>
        <v>US</v>
      </c>
      <c r="C1807" s="3" t="str">
        <f ca="1">IFERROR(__xludf.DUMMYFUNCTION("""COMPUTED_VALUE"""),"University of New Hampshire - Manchester")</f>
        <v>University of New Hampshire - Manchester</v>
      </c>
      <c r="D1807" s="4" t="str">
        <f ca="1">IFERROR(__xludf.DUMMYFUNCTION("""COMPUTED_VALUE"""),"http://www.unh.edu/unhm/")</f>
        <v>http://www.unh.edu/unhm/</v>
      </c>
      <c r="G1807" s="2" t="str">
        <f t="shared" ca="1" si="0"/>
        <v>University of New Hampshire - Manchester</v>
      </c>
      <c r="H1807" s="3" t="str">
        <f t="shared" ca="1" si="1"/>
        <v>University of New Hampshire - Manchester</v>
      </c>
      <c r="I1807" s="3" t="str">
        <f t="shared" ca="1" si="2"/>
        <v>'University of New Hampshire - Manchester',</v>
      </c>
    </row>
    <row r="1808" spans="1:9">
      <c r="A1808" s="1" t="s">
        <v>1806</v>
      </c>
      <c r="B1808" s="3" t="str">
        <f ca="1">IFERROR(__xludf.DUMMYFUNCTION("SPLIT(A1808,"","")"),"US")</f>
        <v>US</v>
      </c>
      <c r="C1808" s="3" t="str">
        <f ca="1">IFERROR(__xludf.DUMMYFUNCTION("""COMPUTED_VALUE"""),"University of New Haven")</f>
        <v>University of New Haven</v>
      </c>
      <c r="D1808" s="4" t="str">
        <f ca="1">IFERROR(__xludf.DUMMYFUNCTION("""COMPUTED_VALUE"""),"http://www.newhaven.edu/")</f>
        <v>http://www.newhaven.edu/</v>
      </c>
      <c r="G1808" s="2" t="str">
        <f t="shared" ca="1" si="0"/>
        <v>University of New Haven</v>
      </c>
      <c r="H1808" s="3" t="str">
        <f t="shared" ca="1" si="1"/>
        <v>University of New Haven</v>
      </c>
      <c r="I1808" s="3" t="str">
        <f t="shared" ca="1" si="2"/>
        <v>'University of New Haven',</v>
      </c>
    </row>
    <row r="1809" spans="1:9">
      <c r="A1809" s="1" t="s">
        <v>1807</v>
      </c>
      <c r="B1809" s="3" t="str">
        <f ca="1">IFERROR(__xludf.DUMMYFUNCTION("SPLIT(A1809,"","")"),"US")</f>
        <v>US</v>
      </c>
      <c r="C1809" s="3" t="str">
        <f ca="1">IFERROR(__xludf.DUMMYFUNCTION("""COMPUTED_VALUE"""),"University of New Mexico")</f>
        <v>University of New Mexico</v>
      </c>
      <c r="D1809" s="4" t="str">
        <f ca="1">IFERROR(__xludf.DUMMYFUNCTION("""COMPUTED_VALUE"""),"http://www.unm.edu/")</f>
        <v>http://www.unm.edu/</v>
      </c>
      <c r="G1809" s="2" t="str">
        <f t="shared" ca="1" si="0"/>
        <v>University of New Mexico</v>
      </c>
      <c r="H1809" s="3" t="str">
        <f t="shared" ca="1" si="1"/>
        <v>University of New Mexico</v>
      </c>
      <c r="I1809" s="3" t="str">
        <f t="shared" ca="1" si="2"/>
        <v>'University of New Mexico',</v>
      </c>
    </row>
    <row r="1810" spans="1:9">
      <c r="A1810" s="1" t="s">
        <v>1808</v>
      </c>
      <c r="B1810" s="3" t="str">
        <f ca="1">IFERROR(__xludf.DUMMYFUNCTION("SPLIT(A1810,"","")"),"US")</f>
        <v>US</v>
      </c>
      <c r="C1810" s="3" t="str">
        <f ca="1">IFERROR(__xludf.DUMMYFUNCTION("""COMPUTED_VALUE"""),"University of New Orleans")</f>
        <v>University of New Orleans</v>
      </c>
      <c r="D1810" s="4" t="str">
        <f ca="1">IFERROR(__xludf.DUMMYFUNCTION("""COMPUTED_VALUE"""),"http://www.uno.edu/")</f>
        <v>http://www.uno.edu/</v>
      </c>
      <c r="G1810" s="2" t="str">
        <f t="shared" ca="1" si="0"/>
        <v>University of New Orleans</v>
      </c>
      <c r="H1810" s="3" t="str">
        <f t="shared" ca="1" si="1"/>
        <v>University of New Orleans</v>
      </c>
      <c r="I1810" s="3" t="str">
        <f t="shared" ca="1" si="2"/>
        <v>'University of New Orleans',</v>
      </c>
    </row>
    <row r="1811" spans="1:9">
      <c r="A1811" s="1" t="s">
        <v>1809</v>
      </c>
      <c r="B1811" s="3" t="str">
        <f ca="1">IFERROR(__xludf.DUMMYFUNCTION("SPLIT(A1811,"","")"),"US")</f>
        <v>US</v>
      </c>
      <c r="C1811" s="3" t="str">
        <f ca="1">IFERROR(__xludf.DUMMYFUNCTION("""COMPUTED_VALUE"""),"University of North Alabama")</f>
        <v>University of North Alabama</v>
      </c>
      <c r="D1811" s="4" t="str">
        <f ca="1">IFERROR(__xludf.DUMMYFUNCTION("""COMPUTED_VALUE"""),"http://www.una.edu/")</f>
        <v>http://www.una.edu/</v>
      </c>
      <c r="G1811" s="2" t="str">
        <f t="shared" ca="1" si="0"/>
        <v>University of North Alabama</v>
      </c>
      <c r="H1811" s="3" t="str">
        <f t="shared" ca="1" si="1"/>
        <v>University of North Alabama</v>
      </c>
      <c r="I1811" s="3" t="str">
        <f t="shared" ca="1" si="2"/>
        <v>'University of North Alabama',</v>
      </c>
    </row>
    <row r="1812" spans="1:9">
      <c r="A1812" s="1" t="s">
        <v>1810</v>
      </c>
      <c r="B1812" s="3" t="str">
        <f ca="1">IFERROR(__xludf.DUMMYFUNCTION("SPLIT(A1812,"","")"),"US")</f>
        <v>US</v>
      </c>
      <c r="C1812" s="3" t="str">
        <f ca="1">IFERROR(__xludf.DUMMYFUNCTION("""COMPUTED_VALUE"""),"University of North America")</f>
        <v>University of North America</v>
      </c>
      <c r="D1812" s="4" t="str">
        <f ca="1">IFERROR(__xludf.DUMMYFUNCTION("""COMPUTED_VALUE"""),"http://www.universityofnorthamerica.org/")</f>
        <v>http://www.universityofnorthamerica.org/</v>
      </c>
      <c r="G1812" s="2" t="str">
        <f t="shared" ca="1" si="0"/>
        <v>University of North America</v>
      </c>
      <c r="H1812" s="3" t="str">
        <f t="shared" ca="1" si="1"/>
        <v>University of North America</v>
      </c>
      <c r="I1812" s="3" t="str">
        <f t="shared" ca="1" si="2"/>
        <v>'University of North America',</v>
      </c>
    </row>
    <row r="1813" spans="1:9">
      <c r="A1813" s="1" t="s">
        <v>1811</v>
      </c>
      <c r="B1813" s="3" t="str">
        <f ca="1">IFERROR(__xludf.DUMMYFUNCTION("SPLIT(A1813,"","")"),"US")</f>
        <v>US</v>
      </c>
      <c r="C1813" s="3" t="str">
        <f ca="1">IFERROR(__xludf.DUMMYFUNCTION("""COMPUTED_VALUE"""),"University of North Carolina at Asheville")</f>
        <v>University of North Carolina at Asheville</v>
      </c>
      <c r="D1813" s="4" t="str">
        <f ca="1">IFERROR(__xludf.DUMMYFUNCTION("""COMPUTED_VALUE"""),"http://www.unca.edu/")</f>
        <v>http://www.unca.edu/</v>
      </c>
      <c r="G1813" s="2" t="str">
        <f t="shared" ca="1" si="0"/>
        <v>University of North Carolina at Asheville</v>
      </c>
      <c r="H1813" s="3" t="str">
        <f t="shared" ca="1" si="1"/>
        <v>University of North Carolina at Asheville</v>
      </c>
      <c r="I1813" s="3" t="str">
        <f t="shared" ca="1" si="2"/>
        <v>'University of North Carolina at Asheville',</v>
      </c>
    </row>
    <row r="1814" spans="1:9">
      <c r="A1814" s="1" t="s">
        <v>1812</v>
      </c>
      <c r="B1814" s="3" t="str">
        <f ca="1">IFERROR(__xludf.DUMMYFUNCTION("SPLIT(A1814,"","")"),"US")</f>
        <v>US</v>
      </c>
      <c r="C1814" s="3" t="str">
        <f ca="1">IFERROR(__xludf.DUMMYFUNCTION("""COMPUTED_VALUE"""),"University of North Carolina at Chapel Hill")</f>
        <v>University of North Carolina at Chapel Hill</v>
      </c>
      <c r="D1814" s="4" t="str">
        <f ca="1">IFERROR(__xludf.DUMMYFUNCTION("""COMPUTED_VALUE"""),"http://www.unc.edu/")</f>
        <v>http://www.unc.edu/</v>
      </c>
      <c r="G1814" s="2" t="str">
        <f t="shared" ca="1" si="0"/>
        <v>University of North Carolina at Chapel Hill</v>
      </c>
      <c r="H1814" s="3" t="str">
        <f t="shared" ca="1" si="1"/>
        <v>University of North Carolina at Chapel Hill</v>
      </c>
      <c r="I1814" s="3" t="str">
        <f t="shared" ca="1" si="2"/>
        <v>'University of North Carolina at Chapel Hill',</v>
      </c>
    </row>
    <row r="1815" spans="1:9">
      <c r="A1815" s="1" t="s">
        <v>1813</v>
      </c>
      <c r="B1815" s="3" t="str">
        <f ca="1">IFERROR(__xludf.DUMMYFUNCTION("SPLIT(A1815,"","")"),"US")</f>
        <v>US</v>
      </c>
      <c r="C1815" s="3" t="str">
        <f ca="1">IFERROR(__xludf.DUMMYFUNCTION("""COMPUTED_VALUE"""),"University of North Carolina at Charlotte")</f>
        <v>University of North Carolina at Charlotte</v>
      </c>
      <c r="D1815" s="4" t="str">
        <f ca="1">IFERROR(__xludf.DUMMYFUNCTION("""COMPUTED_VALUE"""),"http://www.uncc.edu/")</f>
        <v>http://www.uncc.edu/</v>
      </c>
      <c r="G1815" s="2" t="str">
        <f t="shared" ca="1" si="0"/>
        <v>University of North Carolina at Charlotte</v>
      </c>
      <c r="H1815" s="3" t="str">
        <f t="shared" ca="1" si="1"/>
        <v>University of North Carolina at Charlotte</v>
      </c>
      <c r="I1815" s="3" t="str">
        <f t="shared" ca="1" si="2"/>
        <v>'University of North Carolina at Charlotte',</v>
      </c>
    </row>
    <row r="1816" spans="1:9">
      <c r="A1816" s="1" t="s">
        <v>1814</v>
      </c>
      <c r="B1816" s="3" t="str">
        <f ca="1">IFERROR(__xludf.DUMMYFUNCTION("SPLIT(A1816,"","")"),"US")</f>
        <v>US</v>
      </c>
      <c r="C1816" s="3" t="str">
        <f ca="1">IFERROR(__xludf.DUMMYFUNCTION("""COMPUTED_VALUE"""),"University of North Carolina at Greensboro")</f>
        <v>University of North Carolina at Greensboro</v>
      </c>
      <c r="D1816" s="4" t="str">
        <f ca="1">IFERROR(__xludf.DUMMYFUNCTION("""COMPUTED_VALUE"""),"http://www.uncg.edu/")</f>
        <v>http://www.uncg.edu/</v>
      </c>
      <c r="G1816" s="2" t="str">
        <f t="shared" ca="1" si="0"/>
        <v>University of North Carolina at Greensboro</v>
      </c>
      <c r="H1816" s="3" t="str">
        <f t="shared" ca="1" si="1"/>
        <v>University of North Carolina at Greensboro</v>
      </c>
      <c r="I1816" s="3" t="str">
        <f t="shared" ca="1" si="2"/>
        <v>'University of North Carolina at Greensboro',</v>
      </c>
    </row>
    <row r="1817" spans="1:9">
      <c r="A1817" s="1" t="s">
        <v>1815</v>
      </c>
      <c r="B1817" s="3" t="str">
        <f ca="1">IFERROR(__xludf.DUMMYFUNCTION("SPLIT(A1817,"","")"),"US")</f>
        <v>US</v>
      </c>
      <c r="C1817" s="3" t="str">
        <f ca="1">IFERROR(__xludf.DUMMYFUNCTION("""COMPUTED_VALUE"""),"University of North Carolina at Pembroke")</f>
        <v>University of North Carolina at Pembroke</v>
      </c>
      <c r="D1817" s="4" t="str">
        <f ca="1">IFERROR(__xludf.DUMMYFUNCTION("""COMPUTED_VALUE"""),"http://www.uncp.edu/")</f>
        <v>http://www.uncp.edu/</v>
      </c>
      <c r="G1817" s="2" t="str">
        <f t="shared" ca="1" si="0"/>
        <v>University of North Carolina at Pembroke</v>
      </c>
      <c r="H1817" s="3" t="str">
        <f t="shared" ca="1" si="1"/>
        <v>University of North Carolina at Pembroke</v>
      </c>
      <c r="I1817" s="3" t="str">
        <f t="shared" ca="1" si="2"/>
        <v>'University of North Carolina at Pembroke',</v>
      </c>
    </row>
    <row r="1818" spans="1:9">
      <c r="A1818" s="1" t="s">
        <v>1816</v>
      </c>
      <c r="B1818" s="3" t="str">
        <f ca="1">IFERROR(__xludf.DUMMYFUNCTION("SPLIT(A1818,"","")"),"US")</f>
        <v>US</v>
      </c>
      <c r="C1818" s="3" t="str">
        <f ca="1">IFERROR(__xludf.DUMMYFUNCTION("""COMPUTED_VALUE"""),"University of North Carolina at Wilmington")</f>
        <v>University of North Carolina at Wilmington</v>
      </c>
      <c r="D1818" s="4" t="str">
        <f ca="1">IFERROR(__xludf.DUMMYFUNCTION("""COMPUTED_VALUE"""),"http://www.uncwil.edu/")</f>
        <v>http://www.uncwil.edu/</v>
      </c>
      <c r="G1818" s="2" t="str">
        <f t="shared" ca="1" si="0"/>
        <v>University of North Carolina at Wilmington</v>
      </c>
      <c r="H1818" s="3" t="str">
        <f t="shared" ca="1" si="1"/>
        <v>University of North Carolina at Wilmington</v>
      </c>
      <c r="I1818" s="3" t="str">
        <f t="shared" ca="1" si="2"/>
        <v>'University of North Carolina at Wilmington',</v>
      </c>
    </row>
    <row r="1819" spans="1:9">
      <c r="A1819" s="1" t="s">
        <v>1817</v>
      </c>
      <c r="B1819" s="3" t="str">
        <f ca="1">IFERROR(__xludf.DUMMYFUNCTION("SPLIT(A1819,"","")"),"US")</f>
        <v>US</v>
      </c>
      <c r="C1819" s="3" t="str">
        <f ca="1">IFERROR(__xludf.DUMMYFUNCTION("""COMPUTED_VALUE"""),"University of North Dakota")</f>
        <v>University of North Dakota</v>
      </c>
      <c r="D1819" s="4" t="str">
        <f ca="1">IFERROR(__xludf.DUMMYFUNCTION("""COMPUTED_VALUE"""),"http://www.und.nodak.edu/")</f>
        <v>http://www.und.nodak.edu/</v>
      </c>
      <c r="G1819" s="2" t="str">
        <f t="shared" ca="1" si="0"/>
        <v>University of North Dakota</v>
      </c>
      <c r="H1819" s="3" t="str">
        <f t="shared" ca="1" si="1"/>
        <v>University of North Dakota</v>
      </c>
      <c r="I1819" s="3" t="str">
        <f t="shared" ca="1" si="2"/>
        <v>'University of North Dakota',</v>
      </c>
    </row>
    <row r="1820" spans="1:9">
      <c r="A1820" s="1" t="s">
        <v>1818</v>
      </c>
      <c r="B1820" s="3" t="str">
        <f ca="1">IFERROR(__xludf.DUMMYFUNCTION("SPLIT(A1820,"","")"),"US")</f>
        <v>US</v>
      </c>
      <c r="C1820" s="3" t="str">
        <f ca="1">IFERROR(__xludf.DUMMYFUNCTION("""COMPUTED_VALUE"""),"University of Northern Colorado")</f>
        <v>University of Northern Colorado</v>
      </c>
      <c r="D1820" s="4" t="str">
        <f ca="1">IFERROR(__xludf.DUMMYFUNCTION("""COMPUTED_VALUE"""),"http://www.univnorthco.edu/")</f>
        <v>http://www.univnorthco.edu/</v>
      </c>
      <c r="G1820" s="2" t="str">
        <f t="shared" ca="1" si="0"/>
        <v>University of Northern Colorado</v>
      </c>
      <c r="H1820" s="3" t="str">
        <f t="shared" ca="1" si="1"/>
        <v>University of Northern Colorado</v>
      </c>
      <c r="I1820" s="3" t="str">
        <f t="shared" ca="1" si="2"/>
        <v>'University of Northern Colorado',</v>
      </c>
    </row>
    <row r="1821" spans="1:9">
      <c r="A1821" s="1" t="s">
        <v>1819</v>
      </c>
      <c r="B1821" s="3" t="str">
        <f ca="1">IFERROR(__xludf.DUMMYFUNCTION("SPLIT(A1821,"","")"),"US")</f>
        <v>US</v>
      </c>
      <c r="C1821" s="3" t="str">
        <f ca="1">IFERROR(__xludf.DUMMYFUNCTION("""COMPUTED_VALUE"""),"University of Northern Iowa")</f>
        <v>University of Northern Iowa</v>
      </c>
      <c r="D1821" s="4" t="str">
        <f ca="1">IFERROR(__xludf.DUMMYFUNCTION("""COMPUTED_VALUE"""),"http://www.uni.edu/")</f>
        <v>http://www.uni.edu/</v>
      </c>
      <c r="G1821" s="2" t="str">
        <f t="shared" ca="1" si="0"/>
        <v>University of Northern Iowa</v>
      </c>
      <c r="H1821" s="3" t="str">
        <f t="shared" ca="1" si="1"/>
        <v>University of Northern Iowa</v>
      </c>
      <c r="I1821" s="3" t="str">
        <f t="shared" ca="1" si="2"/>
        <v>'University of Northern Iowa',</v>
      </c>
    </row>
    <row r="1822" spans="1:9">
      <c r="A1822" s="1" t="s">
        <v>1820</v>
      </c>
      <c r="B1822" s="3" t="str">
        <f ca="1">IFERROR(__xludf.DUMMYFUNCTION("SPLIT(A1822,"","")"),"US")</f>
        <v>US</v>
      </c>
      <c r="C1822" s="3" t="str">
        <f ca="1">IFERROR(__xludf.DUMMYFUNCTION("""COMPUTED_VALUE"""),"University of Northern Virginia")</f>
        <v>University of Northern Virginia</v>
      </c>
      <c r="D1822" s="4" t="str">
        <f ca="1">IFERROR(__xludf.DUMMYFUNCTION("""COMPUTED_VALUE"""),"http://www.unva.edu/")</f>
        <v>http://www.unva.edu/</v>
      </c>
      <c r="G1822" s="2" t="str">
        <f t="shared" ca="1" si="0"/>
        <v>University of Northern Virginia</v>
      </c>
      <c r="H1822" s="3" t="str">
        <f t="shared" ca="1" si="1"/>
        <v>University of Northern Virginia</v>
      </c>
      <c r="I1822" s="3" t="str">
        <f t="shared" ca="1" si="2"/>
        <v>'University of Northern Virginia',</v>
      </c>
    </row>
    <row r="1823" spans="1:9">
      <c r="A1823" s="1" t="s">
        <v>1821</v>
      </c>
      <c r="B1823" s="3" t="str">
        <f ca="1">IFERROR(__xludf.DUMMYFUNCTION("SPLIT(A1823,"","")"),"US")</f>
        <v>US</v>
      </c>
      <c r="C1823" s="3" t="str">
        <f ca="1">IFERROR(__xludf.DUMMYFUNCTION("""COMPUTED_VALUE"""),"University of Northern Washington")</f>
        <v>University of Northern Washington</v>
      </c>
      <c r="D1823" s="4" t="str">
        <f ca="1">IFERROR(__xludf.DUMMYFUNCTION("""COMPUTED_VALUE"""),"http://www.unw.edu/")</f>
        <v>http://www.unw.edu/</v>
      </c>
      <c r="G1823" s="2" t="str">
        <f t="shared" ca="1" si="0"/>
        <v>University of Northern Washington</v>
      </c>
      <c r="H1823" s="3" t="str">
        <f t="shared" ca="1" si="1"/>
        <v>University of Northern Washington</v>
      </c>
      <c r="I1823" s="3" t="str">
        <f t="shared" ca="1" si="2"/>
        <v>'University of Northern Washington',</v>
      </c>
    </row>
    <row r="1824" spans="1:9">
      <c r="A1824" s="1" t="s">
        <v>1822</v>
      </c>
      <c r="B1824" s="3" t="str">
        <f ca="1">IFERROR(__xludf.DUMMYFUNCTION("SPLIT(A1824,"","")"),"US")</f>
        <v>US</v>
      </c>
      <c r="C1824" s="3" t="str">
        <f ca="1">IFERROR(__xludf.DUMMYFUNCTION("""COMPUTED_VALUE"""),"University of North Florida")</f>
        <v>University of North Florida</v>
      </c>
      <c r="D1824" s="4" t="str">
        <f ca="1">IFERROR(__xludf.DUMMYFUNCTION("""COMPUTED_VALUE"""),"http://www.unf.edu/")</f>
        <v>http://www.unf.edu/</v>
      </c>
      <c r="G1824" s="2" t="str">
        <f t="shared" ca="1" si="0"/>
        <v>University of North Florida</v>
      </c>
      <c r="H1824" s="3" t="str">
        <f t="shared" ca="1" si="1"/>
        <v>University of North Florida</v>
      </c>
      <c r="I1824" s="3" t="str">
        <f t="shared" ca="1" si="2"/>
        <v>'University of North Florida',</v>
      </c>
    </row>
    <row r="1825" spans="1:9">
      <c r="A1825" s="1" t="s">
        <v>1823</v>
      </c>
      <c r="B1825" s="3" t="str">
        <f ca="1">IFERROR(__xludf.DUMMYFUNCTION("SPLIT(A1825,"","")"),"US")</f>
        <v>US</v>
      </c>
      <c r="C1825" s="3" t="str">
        <f ca="1">IFERROR(__xludf.DUMMYFUNCTION("""COMPUTED_VALUE"""),"University of North Texas")</f>
        <v>University of North Texas</v>
      </c>
      <c r="D1825" s="4" t="str">
        <f ca="1">IFERROR(__xludf.DUMMYFUNCTION("""COMPUTED_VALUE"""),"http://www.unt.edu/")</f>
        <v>http://www.unt.edu/</v>
      </c>
      <c r="G1825" s="2" t="str">
        <f t="shared" ca="1" si="0"/>
        <v>University of North Texas</v>
      </c>
      <c r="H1825" s="3" t="str">
        <f t="shared" ca="1" si="1"/>
        <v>University of North Texas</v>
      </c>
      <c r="I1825" s="3" t="str">
        <f t="shared" ca="1" si="2"/>
        <v>'University of North Texas',</v>
      </c>
    </row>
    <row r="1826" spans="1:9">
      <c r="A1826" s="1" t="s">
        <v>1824</v>
      </c>
      <c r="B1826" s="3" t="str">
        <f ca="1">IFERROR(__xludf.DUMMYFUNCTION("SPLIT(A1826,"","")"),"US")</f>
        <v>US</v>
      </c>
      <c r="C1826" s="3" t="str">
        <f ca="1">IFERROR(__xludf.DUMMYFUNCTION("""COMPUTED_VALUE"""),"University of North Texas Health Science Center at Fort Worth")</f>
        <v>University of North Texas Health Science Center at Fort Worth</v>
      </c>
      <c r="D1826" s="4" t="str">
        <f ca="1">IFERROR(__xludf.DUMMYFUNCTION("""COMPUTED_VALUE"""),"http://www.hsc.unt.edu/")</f>
        <v>http://www.hsc.unt.edu/</v>
      </c>
      <c r="G1826" s="2" t="str">
        <f t="shared" ca="1" si="0"/>
        <v>University of North Texas Health Science Center at Fort Worth</v>
      </c>
      <c r="H1826" s="3" t="str">
        <f t="shared" ca="1" si="1"/>
        <v>University of North Texas Health Science Center at Fort Worth</v>
      </c>
      <c r="I1826" s="3" t="str">
        <f t="shared" ca="1" si="2"/>
        <v>'University of North Texas Health Science Center at Fort Worth',</v>
      </c>
    </row>
    <row r="1827" spans="1:9">
      <c r="A1827" s="1" t="s">
        <v>1825</v>
      </c>
      <c r="B1827" s="3" t="str">
        <f ca="1">IFERROR(__xludf.DUMMYFUNCTION("SPLIT(A1827,"","")"),"US")</f>
        <v>US</v>
      </c>
      <c r="C1827" s="3" t="str">
        <f ca="1">IFERROR(__xludf.DUMMYFUNCTION("""COMPUTED_VALUE"""),"University of NorthWest")</f>
        <v>University of NorthWest</v>
      </c>
      <c r="D1827" s="4" t="str">
        <f ca="1">IFERROR(__xludf.DUMMYFUNCTION("""COMPUTED_VALUE"""),"http://www.unw.ac/")</f>
        <v>http://www.unw.ac/</v>
      </c>
      <c r="G1827" s="2" t="str">
        <f t="shared" ca="1" si="0"/>
        <v>University of NorthWest</v>
      </c>
      <c r="H1827" s="3" t="str">
        <f t="shared" ca="1" si="1"/>
        <v>University of NorthWest</v>
      </c>
      <c r="I1827" s="3" t="str">
        <f t="shared" ca="1" si="2"/>
        <v>'University of NorthWest',</v>
      </c>
    </row>
    <row r="1828" spans="1:9">
      <c r="A1828" s="1" t="s">
        <v>1826</v>
      </c>
      <c r="B1828" s="3" t="str">
        <f ca="1">IFERROR(__xludf.DUMMYFUNCTION("SPLIT(A1828,"","")"),"US")</f>
        <v>US</v>
      </c>
      <c r="C1828" s="3" t="str">
        <f ca="1">IFERROR(__xludf.DUMMYFUNCTION("""COMPUTED_VALUE"""),"University of Notre Dame")</f>
        <v>University of Notre Dame</v>
      </c>
      <c r="D1828" s="4" t="str">
        <f ca="1">IFERROR(__xludf.DUMMYFUNCTION("""COMPUTED_VALUE"""),"http://www.nd.edu/")</f>
        <v>http://www.nd.edu/</v>
      </c>
      <c r="G1828" s="2" t="str">
        <f t="shared" ca="1" si="0"/>
        <v>University of Notre Dame</v>
      </c>
      <c r="H1828" s="3" t="str">
        <f t="shared" ca="1" si="1"/>
        <v>University of Notre Dame</v>
      </c>
      <c r="I1828" s="3" t="str">
        <f t="shared" ca="1" si="2"/>
        <v>'University of Notre Dame',</v>
      </c>
    </row>
    <row r="1829" spans="1:9">
      <c r="A1829" s="1" t="s">
        <v>1827</v>
      </c>
      <c r="B1829" s="3" t="str">
        <f ca="1">IFERROR(__xludf.DUMMYFUNCTION("SPLIT(A1829,"","")"),"US")</f>
        <v>US</v>
      </c>
      <c r="C1829" s="3" t="str">
        <f ca="1">IFERROR(__xludf.DUMMYFUNCTION("""COMPUTED_VALUE"""),"University of Oklahoma")</f>
        <v>University of Oklahoma</v>
      </c>
      <c r="D1829" s="4" t="str">
        <f ca="1">IFERROR(__xludf.DUMMYFUNCTION("""COMPUTED_VALUE"""),"http://www.ou.edu/")</f>
        <v>http://www.ou.edu/</v>
      </c>
      <c r="G1829" s="2" t="str">
        <f t="shared" ca="1" si="0"/>
        <v>University of Oklahoma</v>
      </c>
      <c r="H1829" s="3" t="str">
        <f t="shared" ca="1" si="1"/>
        <v>University of Oklahoma</v>
      </c>
      <c r="I1829" s="3" t="str">
        <f t="shared" ca="1" si="2"/>
        <v>'University of Oklahoma',</v>
      </c>
    </row>
    <row r="1830" spans="1:9">
      <c r="A1830" s="1" t="s">
        <v>1828</v>
      </c>
      <c r="B1830" s="3" t="str">
        <f ca="1">IFERROR(__xludf.DUMMYFUNCTION("SPLIT(A1830,"","")"),"US")</f>
        <v>US</v>
      </c>
      <c r="C1830" s="3" t="str">
        <f ca="1">IFERROR(__xludf.DUMMYFUNCTION("""COMPUTED_VALUE"""),"University of Oklahoma Health Sciences Center")</f>
        <v>University of Oklahoma Health Sciences Center</v>
      </c>
      <c r="D1830" s="4" t="str">
        <f ca="1">IFERROR(__xludf.DUMMYFUNCTION("""COMPUTED_VALUE"""),"http://www.ouhsc.edu/")</f>
        <v>http://www.ouhsc.edu/</v>
      </c>
      <c r="G1830" s="2" t="str">
        <f t="shared" ca="1" si="0"/>
        <v>University of Oklahoma Health Sciences Center</v>
      </c>
      <c r="H1830" s="3" t="str">
        <f t="shared" ca="1" si="1"/>
        <v>University of Oklahoma Health Sciences Center</v>
      </c>
      <c r="I1830" s="3" t="str">
        <f t="shared" ca="1" si="2"/>
        <v>'University of Oklahoma Health Sciences Center',</v>
      </c>
    </row>
    <row r="1831" spans="1:9">
      <c r="A1831" s="1" t="s">
        <v>1829</v>
      </c>
      <c r="B1831" s="3" t="str">
        <f ca="1">IFERROR(__xludf.DUMMYFUNCTION("SPLIT(A1831,"","")"),"US")</f>
        <v>US</v>
      </c>
      <c r="C1831" s="3" t="str">
        <f ca="1">IFERROR(__xludf.DUMMYFUNCTION("""COMPUTED_VALUE"""),"University of Oregon")</f>
        <v>University of Oregon</v>
      </c>
      <c r="D1831" s="4" t="str">
        <f ca="1">IFERROR(__xludf.DUMMYFUNCTION("""COMPUTED_VALUE"""),"http://www.uoregon.edu/")</f>
        <v>http://www.uoregon.edu/</v>
      </c>
      <c r="G1831" s="2" t="str">
        <f t="shared" ca="1" si="0"/>
        <v>University of Oregon</v>
      </c>
      <c r="H1831" s="3" t="str">
        <f t="shared" ca="1" si="1"/>
        <v>University of Oregon</v>
      </c>
      <c r="I1831" s="3" t="str">
        <f t="shared" ca="1" si="2"/>
        <v>'University of Oregon',</v>
      </c>
    </row>
    <row r="1832" spans="1:9">
      <c r="A1832" s="1" t="s">
        <v>1830</v>
      </c>
      <c r="B1832" s="3" t="str">
        <f ca="1">IFERROR(__xludf.DUMMYFUNCTION("SPLIT(A1832,"","")"),"US")</f>
        <v>US</v>
      </c>
      <c r="C1832" s="3" t="str">
        <f ca="1">IFERROR(__xludf.DUMMYFUNCTION("""COMPUTED_VALUE"""),"University of Osteopathic Medicine and Health Science")</f>
        <v>University of Osteopathic Medicine and Health Science</v>
      </c>
      <c r="D1832" s="4" t="str">
        <f ca="1">IFERROR(__xludf.DUMMYFUNCTION("""COMPUTED_VALUE"""),"http://www.uomhs.edu/")</f>
        <v>http://www.uomhs.edu/</v>
      </c>
      <c r="G1832" s="2" t="str">
        <f t="shared" ca="1" si="0"/>
        <v>University of Osteopathic Medicine and Health Science</v>
      </c>
      <c r="H1832" s="3" t="str">
        <f t="shared" ca="1" si="1"/>
        <v>University of Osteopathic Medicine and Health Science</v>
      </c>
      <c r="I1832" s="3" t="str">
        <f t="shared" ca="1" si="2"/>
        <v>'University of Osteopathic Medicine and Health Science',</v>
      </c>
    </row>
    <row r="1833" spans="1:9">
      <c r="A1833" s="1" t="s">
        <v>1831</v>
      </c>
      <c r="B1833" s="3" t="str">
        <f ca="1">IFERROR(__xludf.DUMMYFUNCTION("SPLIT(A1833,"","")"),"US")</f>
        <v>US</v>
      </c>
      <c r="C1833" s="3" t="str">
        <f ca="1">IFERROR(__xludf.DUMMYFUNCTION("""COMPUTED_VALUE"""),"University of Pennsylvania")</f>
        <v>University of Pennsylvania</v>
      </c>
      <c r="D1833" s="4" t="str">
        <f ca="1">IFERROR(__xludf.DUMMYFUNCTION("""COMPUTED_VALUE"""),"http://www.upenn.edu/")</f>
        <v>http://www.upenn.edu/</v>
      </c>
      <c r="G1833" s="2" t="str">
        <f t="shared" ca="1" si="0"/>
        <v>University of Pennsylvania</v>
      </c>
      <c r="H1833" s="3" t="str">
        <f t="shared" ca="1" si="1"/>
        <v>University of Pennsylvania</v>
      </c>
      <c r="I1833" s="3" t="str">
        <f t="shared" ca="1" si="2"/>
        <v>'University of Pennsylvania',</v>
      </c>
    </row>
    <row r="1834" spans="1:9">
      <c r="A1834" s="1" t="s">
        <v>1832</v>
      </c>
      <c r="B1834" s="3" t="str">
        <f ca="1">IFERROR(__xludf.DUMMYFUNCTION("SPLIT(A1834,"","")"),"US")</f>
        <v>US</v>
      </c>
      <c r="C1834" s="3" t="str">
        <f ca="1">IFERROR(__xludf.DUMMYFUNCTION("""COMPUTED_VALUE"""),"University of Phoenix")</f>
        <v>University of Phoenix</v>
      </c>
      <c r="D1834" s="4" t="str">
        <f ca="1">IFERROR(__xludf.DUMMYFUNCTION("""COMPUTED_VALUE"""),"http://www.phoenix.edu/")</f>
        <v>http://www.phoenix.edu/</v>
      </c>
      <c r="G1834" s="2" t="str">
        <f t="shared" ca="1" si="0"/>
        <v>University of Phoenix</v>
      </c>
      <c r="H1834" s="3" t="str">
        <f t="shared" ca="1" si="1"/>
        <v>University of Phoenix</v>
      </c>
      <c r="I1834" s="3" t="str">
        <f t="shared" ca="1" si="2"/>
        <v>'University of Phoenix',</v>
      </c>
    </row>
    <row r="1835" spans="1:9">
      <c r="A1835" s="1" t="s">
        <v>1833</v>
      </c>
      <c r="B1835" s="3" t="str">
        <f ca="1">IFERROR(__xludf.DUMMYFUNCTION("SPLIT(A1835,"","")"),"US")</f>
        <v>US</v>
      </c>
      <c r="C1835" s="3" t="str">
        <f ca="1">IFERROR(__xludf.DUMMYFUNCTION("""COMPUTED_VALUE"""),"University of Pittsburgh")</f>
        <v>University of Pittsburgh</v>
      </c>
      <c r="D1835" s="4" t="str">
        <f ca="1">IFERROR(__xludf.DUMMYFUNCTION("""COMPUTED_VALUE"""),"http://www.pitt.edu/")</f>
        <v>http://www.pitt.edu/</v>
      </c>
      <c r="G1835" s="2" t="str">
        <f t="shared" ca="1" si="0"/>
        <v>University of Pittsburgh</v>
      </c>
      <c r="H1835" s="3" t="str">
        <f t="shared" ca="1" si="1"/>
        <v>University of Pittsburgh</v>
      </c>
      <c r="I1835" s="3" t="str">
        <f t="shared" ca="1" si="2"/>
        <v>'University of Pittsburgh',</v>
      </c>
    </row>
    <row r="1836" spans="1:9">
      <c r="A1836" s="1" t="s">
        <v>1834</v>
      </c>
      <c r="B1836" s="3" t="str">
        <f ca="1">IFERROR(__xludf.DUMMYFUNCTION("SPLIT(A1836,"","")"),"US")</f>
        <v>US</v>
      </c>
      <c r="C1836" s="3" t="str">
        <f ca="1">IFERROR(__xludf.DUMMYFUNCTION("""COMPUTED_VALUE"""),"University of Pittsburgh at Bradford")</f>
        <v>University of Pittsburgh at Bradford</v>
      </c>
      <c r="D1836" s="4" t="str">
        <f ca="1">IFERROR(__xludf.DUMMYFUNCTION("""COMPUTED_VALUE"""),"http://www.upb.pitt.edu/")</f>
        <v>http://www.upb.pitt.edu/</v>
      </c>
      <c r="G1836" s="2" t="str">
        <f t="shared" ca="1" si="0"/>
        <v>University of Pittsburgh at Bradford</v>
      </c>
      <c r="H1836" s="3" t="str">
        <f t="shared" ca="1" si="1"/>
        <v>University of Pittsburgh at Bradford</v>
      </c>
      <c r="I1836" s="3" t="str">
        <f t="shared" ca="1" si="2"/>
        <v>'University of Pittsburgh at Bradford',</v>
      </c>
    </row>
    <row r="1837" spans="1:9">
      <c r="A1837" s="1" t="s">
        <v>1835</v>
      </c>
      <c r="B1837" s="3" t="str">
        <f ca="1">IFERROR(__xludf.DUMMYFUNCTION("SPLIT(A1837,"","")"),"US")</f>
        <v>US</v>
      </c>
      <c r="C1837" s="3" t="str">
        <f ca="1">IFERROR(__xludf.DUMMYFUNCTION("""COMPUTED_VALUE"""),"University of Pittsburgh at Greensburg")</f>
        <v>University of Pittsburgh at Greensburg</v>
      </c>
      <c r="D1837" s="4" t="str">
        <f ca="1">IFERROR(__xludf.DUMMYFUNCTION("""COMPUTED_VALUE"""),"http://www.pitt.edu/~upg/")</f>
        <v>http://www.pitt.edu/~upg/</v>
      </c>
      <c r="G1837" s="2" t="str">
        <f t="shared" ca="1" si="0"/>
        <v>University of Pittsburgh at Greensburg</v>
      </c>
      <c r="H1837" s="3" t="str">
        <f t="shared" ca="1" si="1"/>
        <v>University of Pittsburgh at Greensburg</v>
      </c>
      <c r="I1837" s="3" t="str">
        <f t="shared" ca="1" si="2"/>
        <v>'University of Pittsburgh at Greensburg',</v>
      </c>
    </row>
    <row r="1838" spans="1:9">
      <c r="A1838" s="1" t="s">
        <v>1836</v>
      </c>
      <c r="B1838" s="3" t="str">
        <f ca="1">IFERROR(__xludf.DUMMYFUNCTION("SPLIT(A1838,"","")"),"US")</f>
        <v>US</v>
      </c>
      <c r="C1838" s="3" t="str">
        <f ca="1">IFERROR(__xludf.DUMMYFUNCTION("""COMPUTED_VALUE"""),"University of Pittsburgh at Johnstown")</f>
        <v>University of Pittsburgh at Johnstown</v>
      </c>
      <c r="D1838" s="4" t="str">
        <f ca="1">IFERROR(__xludf.DUMMYFUNCTION("""COMPUTED_VALUE"""),"http://www.pitt.edu/~upjweb/")</f>
        <v>http://www.pitt.edu/~upjweb/</v>
      </c>
      <c r="G1838" s="2" t="str">
        <f t="shared" ca="1" si="0"/>
        <v>University of Pittsburgh at Johnstown</v>
      </c>
      <c r="H1838" s="3" t="str">
        <f t="shared" ca="1" si="1"/>
        <v>University of Pittsburgh at Johnstown</v>
      </c>
      <c r="I1838" s="3" t="str">
        <f t="shared" ca="1" si="2"/>
        <v>'University of Pittsburgh at Johnstown',</v>
      </c>
    </row>
    <row r="1839" spans="1:9">
      <c r="A1839" s="1" t="s">
        <v>1837</v>
      </c>
      <c r="B1839" s="3" t="str">
        <f ca="1">IFERROR(__xludf.DUMMYFUNCTION("SPLIT(A1839,"","")"),"US")</f>
        <v>US</v>
      </c>
      <c r="C1839" s="3" t="str">
        <f ca="1">IFERROR(__xludf.DUMMYFUNCTION("""COMPUTED_VALUE"""),"University of Portland")</f>
        <v>University of Portland</v>
      </c>
      <c r="D1839" s="4" t="str">
        <f ca="1">IFERROR(__xludf.DUMMYFUNCTION("""COMPUTED_VALUE"""),"http://www.uofport.edu/")</f>
        <v>http://www.uofport.edu/</v>
      </c>
      <c r="G1839" s="2" t="str">
        <f t="shared" ca="1" si="0"/>
        <v>University of Portland</v>
      </c>
      <c r="H1839" s="3" t="str">
        <f t="shared" ca="1" si="1"/>
        <v>University of Portland</v>
      </c>
      <c r="I1839" s="3" t="str">
        <f t="shared" ca="1" si="2"/>
        <v>'University of Portland',</v>
      </c>
    </row>
    <row r="1840" spans="1:9">
      <c r="A1840" s="1" t="s">
        <v>1838</v>
      </c>
      <c r="B1840" s="3" t="str">
        <f ca="1">IFERROR(__xludf.DUMMYFUNCTION("SPLIT(A1840,"","")"),"US")</f>
        <v>US</v>
      </c>
      <c r="C1840" s="3" t="str">
        <f ca="1">IFERROR(__xludf.DUMMYFUNCTION("""COMPUTED_VALUE"""),"University of Puget Sound")</f>
        <v>University of Puget Sound</v>
      </c>
      <c r="D1840" s="4" t="str">
        <f ca="1">IFERROR(__xludf.DUMMYFUNCTION("""COMPUTED_VALUE"""),"http://www.ups.edu/")</f>
        <v>http://www.ups.edu/</v>
      </c>
      <c r="G1840" s="2" t="str">
        <f t="shared" ca="1" si="0"/>
        <v>University of Puget Sound</v>
      </c>
      <c r="H1840" s="3" t="str">
        <f t="shared" ca="1" si="1"/>
        <v>University of Puget Sound</v>
      </c>
      <c r="I1840" s="3" t="str">
        <f t="shared" ca="1" si="2"/>
        <v>'University of Puget Sound',</v>
      </c>
    </row>
    <row r="1841" spans="1:9">
      <c r="A1841" s="1" t="s">
        <v>1839</v>
      </c>
      <c r="B1841" s="3" t="str">
        <f ca="1">IFERROR(__xludf.DUMMYFUNCTION("SPLIT(A1841,"","")"),"US")</f>
        <v>US</v>
      </c>
      <c r="C1841" s="3" t="str">
        <f ca="1">IFERROR(__xludf.DUMMYFUNCTION("""COMPUTED_VALUE"""),"University of Redlands")</f>
        <v>University of Redlands</v>
      </c>
      <c r="D1841" s="4" t="str">
        <f ca="1">IFERROR(__xludf.DUMMYFUNCTION("""COMPUTED_VALUE"""),"http://www.redlands.edu/")</f>
        <v>http://www.redlands.edu/</v>
      </c>
      <c r="G1841" s="2" t="str">
        <f t="shared" ca="1" si="0"/>
        <v>University of Redlands</v>
      </c>
      <c r="H1841" s="3" t="str">
        <f t="shared" ca="1" si="1"/>
        <v>University of Redlands</v>
      </c>
      <c r="I1841" s="3" t="str">
        <f t="shared" ca="1" si="2"/>
        <v>'University of Redlands',</v>
      </c>
    </row>
    <row r="1842" spans="1:9">
      <c r="A1842" s="1" t="s">
        <v>1840</v>
      </c>
      <c r="B1842" s="3" t="str">
        <f ca="1">IFERROR(__xludf.DUMMYFUNCTION("SPLIT(A1842,"","")"),"US")</f>
        <v>US</v>
      </c>
      <c r="C1842" s="3" t="str">
        <f ca="1">IFERROR(__xludf.DUMMYFUNCTION("""COMPUTED_VALUE"""),"University of Rhode Island")</f>
        <v>University of Rhode Island</v>
      </c>
      <c r="D1842" s="4" t="str">
        <f ca="1">IFERROR(__xludf.DUMMYFUNCTION("""COMPUTED_VALUE"""),"http://www.uri.edu/")</f>
        <v>http://www.uri.edu/</v>
      </c>
      <c r="G1842" s="2" t="str">
        <f t="shared" ca="1" si="0"/>
        <v>University of Rhode Island</v>
      </c>
      <c r="H1842" s="3" t="str">
        <f t="shared" ca="1" si="1"/>
        <v>University of Rhode Island</v>
      </c>
      <c r="I1842" s="3" t="str">
        <f t="shared" ca="1" si="2"/>
        <v>'University of Rhode Island',</v>
      </c>
    </row>
    <row r="1843" spans="1:9">
      <c r="A1843" s="1" t="s">
        <v>1841</v>
      </c>
      <c r="B1843" s="3" t="str">
        <f ca="1">IFERROR(__xludf.DUMMYFUNCTION("SPLIT(A1843,"","")"),"US")</f>
        <v>US</v>
      </c>
      <c r="C1843" s="3" t="str">
        <f ca="1">IFERROR(__xludf.DUMMYFUNCTION("""COMPUTED_VALUE"""),"University of Richmond")</f>
        <v>University of Richmond</v>
      </c>
      <c r="D1843" s="4" t="str">
        <f ca="1">IFERROR(__xludf.DUMMYFUNCTION("""COMPUTED_VALUE"""),"http://www.urich.edu/")</f>
        <v>http://www.urich.edu/</v>
      </c>
      <c r="G1843" s="2" t="str">
        <f t="shared" ca="1" si="0"/>
        <v>University of Richmond</v>
      </c>
      <c r="H1843" s="3" t="str">
        <f t="shared" ca="1" si="1"/>
        <v>University of Richmond</v>
      </c>
      <c r="I1843" s="3" t="str">
        <f t="shared" ca="1" si="2"/>
        <v>'University of Richmond',</v>
      </c>
    </row>
    <row r="1844" spans="1:9">
      <c r="A1844" s="1" t="s">
        <v>1842</v>
      </c>
      <c r="B1844" s="3" t="str">
        <f ca="1">IFERROR(__xludf.DUMMYFUNCTION("SPLIT(A1844,"","")"),"US")</f>
        <v>US</v>
      </c>
      <c r="C1844" s="3" t="str">
        <f ca="1">IFERROR(__xludf.DUMMYFUNCTION("""COMPUTED_VALUE"""),"University of Rio Grande")</f>
        <v>University of Rio Grande</v>
      </c>
      <c r="D1844" s="4" t="str">
        <f ca="1">IFERROR(__xludf.DUMMYFUNCTION("""COMPUTED_VALUE"""),"http://www.urgrgcc.edu/")</f>
        <v>http://www.urgrgcc.edu/</v>
      </c>
      <c r="G1844" s="2" t="str">
        <f t="shared" ca="1" si="0"/>
        <v>University of Rio Grande</v>
      </c>
      <c r="H1844" s="3" t="str">
        <f t="shared" ca="1" si="1"/>
        <v>University of Rio Grande</v>
      </c>
      <c r="I1844" s="3" t="str">
        <f t="shared" ca="1" si="2"/>
        <v>'University of Rio Grande',</v>
      </c>
    </row>
    <row r="1845" spans="1:9">
      <c r="A1845" s="1" t="s">
        <v>1843</v>
      </c>
      <c r="B1845" s="3" t="str">
        <f ca="1">IFERROR(__xludf.DUMMYFUNCTION("SPLIT(A1845,"","")"),"US")</f>
        <v>US</v>
      </c>
      <c r="C1845" s="3" t="str">
        <f ca="1">IFERROR(__xludf.DUMMYFUNCTION("""COMPUTED_VALUE"""),"University of Rochester")</f>
        <v>University of Rochester</v>
      </c>
      <c r="D1845" s="4" t="str">
        <f ca="1">IFERROR(__xludf.DUMMYFUNCTION("""COMPUTED_VALUE"""),"http://www.rochester.edu/")</f>
        <v>http://www.rochester.edu/</v>
      </c>
      <c r="G1845" s="2" t="str">
        <f t="shared" ca="1" si="0"/>
        <v>University of Rochester</v>
      </c>
      <c r="H1845" s="3" t="str">
        <f t="shared" ca="1" si="1"/>
        <v>University of Rochester</v>
      </c>
      <c r="I1845" s="3" t="str">
        <f t="shared" ca="1" si="2"/>
        <v>'University of Rochester',</v>
      </c>
    </row>
    <row r="1846" spans="1:9">
      <c r="A1846" s="1" t="s">
        <v>1844</v>
      </c>
      <c r="B1846" s="3" t="str">
        <f ca="1">IFERROR(__xludf.DUMMYFUNCTION("SPLIT(A1846,"","")"),"US")</f>
        <v>US</v>
      </c>
      <c r="C1846" s="3" t="str">
        <f ca="1">IFERROR(__xludf.DUMMYFUNCTION("""COMPUTED_VALUE"""),"University of San Diego")</f>
        <v>University of San Diego</v>
      </c>
      <c r="D1846" s="4" t="str">
        <f ca="1">IFERROR(__xludf.DUMMYFUNCTION("""COMPUTED_VALUE"""),"http://www.sandiego.edu/")</f>
        <v>http://www.sandiego.edu/</v>
      </c>
      <c r="G1846" s="2" t="str">
        <f t="shared" ca="1" si="0"/>
        <v>University of San Diego</v>
      </c>
      <c r="H1846" s="3" t="str">
        <f t="shared" ca="1" si="1"/>
        <v>University of San Diego</v>
      </c>
      <c r="I1846" s="3" t="str">
        <f t="shared" ca="1" si="2"/>
        <v>'University of San Diego',</v>
      </c>
    </row>
    <row r="1847" spans="1:9">
      <c r="A1847" s="1" t="s">
        <v>1845</v>
      </c>
      <c r="B1847" s="3" t="str">
        <f ca="1">IFERROR(__xludf.DUMMYFUNCTION("SPLIT(A1847,"","")"),"US")</f>
        <v>US</v>
      </c>
      <c r="C1847" s="3" t="str">
        <f ca="1">IFERROR(__xludf.DUMMYFUNCTION("""COMPUTED_VALUE"""),"University of San Francisco")</f>
        <v>University of San Francisco</v>
      </c>
      <c r="D1847" s="4" t="str">
        <f ca="1">IFERROR(__xludf.DUMMYFUNCTION("""COMPUTED_VALUE"""),"http://www.usfca.edu/")</f>
        <v>http://www.usfca.edu/</v>
      </c>
      <c r="G1847" s="2" t="str">
        <f t="shared" ca="1" si="0"/>
        <v>University of San Francisco</v>
      </c>
      <c r="H1847" s="3" t="str">
        <f t="shared" ca="1" si="1"/>
        <v>University of San Francisco</v>
      </c>
      <c r="I1847" s="3" t="str">
        <f t="shared" ca="1" si="2"/>
        <v>'University of San Francisco',</v>
      </c>
    </row>
    <row r="1848" spans="1:9">
      <c r="A1848" s="1" t="s">
        <v>1846</v>
      </c>
      <c r="B1848" s="3" t="str">
        <f ca="1">IFERROR(__xludf.DUMMYFUNCTION("SPLIT(A1848,"","")"),"US")</f>
        <v>US</v>
      </c>
      <c r="C1848" s="3" t="str">
        <f ca="1">IFERROR(__xludf.DUMMYFUNCTION("""COMPUTED_VALUE"""),"University of Science and Arts of Oklahoma")</f>
        <v>University of Science and Arts of Oklahoma</v>
      </c>
      <c r="D1848" s="4" t="str">
        <f ca="1">IFERROR(__xludf.DUMMYFUNCTION("""COMPUTED_VALUE"""),"http://www.usao.edu/")</f>
        <v>http://www.usao.edu/</v>
      </c>
      <c r="G1848" s="2" t="str">
        <f t="shared" ca="1" si="0"/>
        <v>University of Science and Arts of Oklahoma</v>
      </c>
      <c r="H1848" s="3" t="str">
        <f t="shared" ca="1" si="1"/>
        <v>University of Science and Arts of Oklahoma</v>
      </c>
      <c r="I1848" s="3" t="str">
        <f t="shared" ca="1" si="2"/>
        <v>'University of Science and Arts of Oklahoma',</v>
      </c>
    </row>
    <row r="1849" spans="1:9">
      <c r="A1849" s="1" t="s">
        <v>1847</v>
      </c>
      <c r="B1849" s="3" t="str">
        <f ca="1">IFERROR(__xludf.DUMMYFUNCTION("SPLIT(A1849,"","")"),"US")</f>
        <v>US</v>
      </c>
      <c r="C1849" s="3" t="str">
        <f ca="1">IFERROR(__xludf.DUMMYFUNCTION("""COMPUTED_VALUE"""),"University of Scranton")</f>
        <v>University of Scranton</v>
      </c>
      <c r="D1849" s="4" t="str">
        <f ca="1">IFERROR(__xludf.DUMMYFUNCTION("""COMPUTED_VALUE"""),"http://www.uofs.edu/")</f>
        <v>http://www.uofs.edu/</v>
      </c>
      <c r="G1849" s="2" t="str">
        <f t="shared" ca="1" si="0"/>
        <v>University of Scranton</v>
      </c>
      <c r="H1849" s="3" t="str">
        <f t="shared" ca="1" si="1"/>
        <v>University of Scranton</v>
      </c>
      <c r="I1849" s="3" t="str">
        <f t="shared" ca="1" si="2"/>
        <v>'University of Scranton',</v>
      </c>
    </row>
    <row r="1850" spans="1:9">
      <c r="A1850" s="1" t="s">
        <v>1848</v>
      </c>
      <c r="B1850" s="3" t="str">
        <f ca="1">IFERROR(__xludf.DUMMYFUNCTION("SPLIT(A1850,"","")"),"US")</f>
        <v>US</v>
      </c>
      <c r="C1850" s="3" t="str">
        <f ca="1">IFERROR(__xludf.DUMMYFUNCTION("""COMPUTED_VALUE"""),"University of Sioux Falls")</f>
        <v>University of Sioux Falls</v>
      </c>
      <c r="D1850" s="4" t="str">
        <f ca="1">IFERROR(__xludf.DUMMYFUNCTION("""COMPUTED_VALUE"""),"http://www.thecoo.edu/")</f>
        <v>http://www.thecoo.edu/</v>
      </c>
      <c r="G1850" s="2" t="str">
        <f t="shared" ca="1" si="0"/>
        <v>University of Sioux Falls</v>
      </c>
      <c r="H1850" s="3" t="str">
        <f t="shared" ca="1" si="1"/>
        <v>University of Sioux Falls</v>
      </c>
      <c r="I1850" s="3" t="str">
        <f t="shared" ca="1" si="2"/>
        <v>'University of Sioux Falls',</v>
      </c>
    </row>
    <row r="1851" spans="1:9">
      <c r="A1851" s="1" t="s">
        <v>1849</v>
      </c>
      <c r="B1851" s="3" t="str">
        <f ca="1">IFERROR(__xludf.DUMMYFUNCTION("SPLIT(A1851,"","")"),"US")</f>
        <v>US</v>
      </c>
      <c r="C1851" s="3" t="str">
        <f ca="1">IFERROR(__xludf.DUMMYFUNCTION("""COMPUTED_VALUE"""),"University of South Alabama")</f>
        <v>University of South Alabama</v>
      </c>
      <c r="D1851" s="4" t="str">
        <f ca="1">IFERROR(__xludf.DUMMYFUNCTION("""COMPUTED_VALUE"""),"http://www.usouthal.edu/")</f>
        <v>http://www.usouthal.edu/</v>
      </c>
      <c r="G1851" s="2" t="str">
        <f t="shared" ca="1" si="0"/>
        <v>University of South Alabama</v>
      </c>
      <c r="H1851" s="3" t="str">
        <f t="shared" ca="1" si="1"/>
        <v>University of South Alabama</v>
      </c>
      <c r="I1851" s="3" t="str">
        <f t="shared" ca="1" si="2"/>
        <v>'University of South Alabama',</v>
      </c>
    </row>
    <row r="1852" spans="1:9">
      <c r="A1852" s="1" t="s">
        <v>1850</v>
      </c>
      <c r="B1852" s="3" t="str">
        <f ca="1">IFERROR(__xludf.DUMMYFUNCTION("SPLIT(A1852,"","")"),"US")</f>
        <v>US</v>
      </c>
      <c r="C1852" s="3" t="str">
        <f ca="1">IFERROR(__xludf.DUMMYFUNCTION("""COMPUTED_VALUE"""),"University of South Carolina")</f>
        <v>University of South Carolina</v>
      </c>
      <c r="D1852" s="4" t="str">
        <f ca="1">IFERROR(__xludf.DUMMYFUNCTION("""COMPUTED_VALUE"""),"http://www.sc.edu/")</f>
        <v>http://www.sc.edu/</v>
      </c>
      <c r="G1852" s="2" t="str">
        <f t="shared" ca="1" si="0"/>
        <v>University of South Carolina</v>
      </c>
      <c r="H1852" s="3" t="str">
        <f t="shared" ca="1" si="1"/>
        <v>University of South Carolina</v>
      </c>
      <c r="I1852" s="3" t="str">
        <f t="shared" ca="1" si="2"/>
        <v>'University of South Carolina',</v>
      </c>
    </row>
    <row r="1853" spans="1:9">
      <c r="A1853" s="1" t="s">
        <v>1851</v>
      </c>
      <c r="B1853" s="3" t="str">
        <f ca="1">IFERROR(__xludf.DUMMYFUNCTION("SPLIT(A1853,"","")"),"US")</f>
        <v>US</v>
      </c>
      <c r="C1853" s="3" t="str">
        <f ca="1">IFERROR(__xludf.DUMMYFUNCTION("""COMPUTED_VALUE"""),"University of South Carolina - Aiken")</f>
        <v>University of South Carolina - Aiken</v>
      </c>
      <c r="D1853" s="4" t="str">
        <f ca="1">IFERROR(__xludf.DUMMYFUNCTION("""COMPUTED_VALUE"""),"http://www.usca.sc.edu/")</f>
        <v>http://www.usca.sc.edu/</v>
      </c>
      <c r="G1853" s="2" t="str">
        <f t="shared" ca="1" si="0"/>
        <v>University of South Carolina - Aiken</v>
      </c>
      <c r="H1853" s="3" t="str">
        <f t="shared" ca="1" si="1"/>
        <v>University of South Carolina - Aiken</v>
      </c>
      <c r="I1853" s="3" t="str">
        <f t="shared" ca="1" si="2"/>
        <v>'University of South Carolina - Aiken',</v>
      </c>
    </row>
    <row r="1854" spans="1:9">
      <c r="A1854" s="1" t="s">
        <v>1852</v>
      </c>
      <c r="B1854" s="3" t="str">
        <f ca="1">IFERROR(__xludf.DUMMYFUNCTION("SPLIT(A1854,"","")"),"US")</f>
        <v>US</v>
      </c>
      <c r="C1854" s="3" t="str">
        <f ca="1">IFERROR(__xludf.DUMMYFUNCTION("""COMPUTED_VALUE"""),"University of South Carolina - Beaufort")</f>
        <v>University of South Carolina - Beaufort</v>
      </c>
      <c r="D1854" s="4" t="str">
        <f ca="1">IFERROR(__xludf.DUMMYFUNCTION("""COMPUTED_VALUE"""),"http://www.sc.edu/beaufort/")</f>
        <v>http://www.sc.edu/beaufort/</v>
      </c>
      <c r="G1854" s="2" t="str">
        <f t="shared" ca="1" si="0"/>
        <v>University of South Carolina - Beaufort</v>
      </c>
      <c r="H1854" s="3" t="str">
        <f t="shared" ca="1" si="1"/>
        <v>University of South Carolina - Beaufort</v>
      </c>
      <c r="I1854" s="3" t="str">
        <f t="shared" ca="1" si="2"/>
        <v>'University of South Carolina - Beaufort',</v>
      </c>
    </row>
    <row r="1855" spans="1:9">
      <c r="A1855" s="1" t="s">
        <v>1853</v>
      </c>
      <c r="B1855" s="3" t="str">
        <f ca="1">IFERROR(__xludf.DUMMYFUNCTION("SPLIT(A1855,"","")"),"US")</f>
        <v>US</v>
      </c>
      <c r="C1855" s="3" t="str">
        <f ca="1">IFERROR(__xludf.DUMMYFUNCTION("""COMPUTED_VALUE"""),"University of South Carolina - Lancaster")</f>
        <v>University of South Carolina - Lancaster</v>
      </c>
      <c r="D1855" s="4" t="str">
        <f ca="1">IFERROR(__xludf.DUMMYFUNCTION("""COMPUTED_VALUE"""),"http://www.sc.edu/lancaster/")</f>
        <v>http://www.sc.edu/lancaster/</v>
      </c>
      <c r="G1855" s="2" t="str">
        <f t="shared" ca="1" si="0"/>
        <v>University of South Carolina - Lancaster</v>
      </c>
      <c r="H1855" s="3" t="str">
        <f t="shared" ca="1" si="1"/>
        <v>University of South Carolina - Lancaster</v>
      </c>
      <c r="I1855" s="3" t="str">
        <f t="shared" ca="1" si="2"/>
        <v>'University of South Carolina - Lancaster',</v>
      </c>
    </row>
    <row r="1856" spans="1:9">
      <c r="A1856" s="1" t="s">
        <v>1854</v>
      </c>
      <c r="B1856" s="3" t="str">
        <f ca="1">IFERROR(__xludf.DUMMYFUNCTION("SPLIT(A1856,"","")"),"US")</f>
        <v>US</v>
      </c>
      <c r="C1856" s="3" t="str">
        <f ca="1">IFERROR(__xludf.DUMMYFUNCTION("""COMPUTED_VALUE"""),"University of South Carolina - Salkehatchie")</f>
        <v>University of South Carolina - Salkehatchie</v>
      </c>
      <c r="D1856" s="4" t="str">
        <f ca="1">IFERROR(__xludf.DUMMYFUNCTION("""COMPUTED_VALUE"""),"http://www.rcce.sc.edu/salkehatchie/")</f>
        <v>http://www.rcce.sc.edu/salkehatchie/</v>
      </c>
      <c r="G1856" s="2" t="str">
        <f t="shared" ca="1" si="0"/>
        <v>University of South Carolina - Salkehatchie</v>
      </c>
      <c r="H1856" s="3" t="str">
        <f t="shared" ca="1" si="1"/>
        <v>University of South Carolina - Salkehatchie</v>
      </c>
      <c r="I1856" s="3" t="str">
        <f t="shared" ca="1" si="2"/>
        <v>'University of South Carolina - Salkehatchie',</v>
      </c>
    </row>
    <row r="1857" spans="1:9">
      <c r="A1857" s="1" t="s">
        <v>1855</v>
      </c>
      <c r="B1857" s="3" t="str">
        <f ca="1">IFERROR(__xludf.DUMMYFUNCTION("SPLIT(A1857,"","")"),"US")</f>
        <v>US</v>
      </c>
      <c r="C1857" s="3" t="str">
        <f ca="1">IFERROR(__xludf.DUMMYFUNCTION("""COMPUTED_VALUE"""),"University of South Carolina - Spartanburg")</f>
        <v>University of South Carolina - Spartanburg</v>
      </c>
      <c r="D1857" s="4" t="str">
        <f ca="1">IFERROR(__xludf.DUMMYFUNCTION("""COMPUTED_VALUE"""),"http://www.uscs.edu/")</f>
        <v>http://www.uscs.edu/</v>
      </c>
      <c r="G1857" s="2" t="str">
        <f t="shared" ca="1" si="0"/>
        <v>University of South Carolina - Spartanburg</v>
      </c>
      <c r="H1857" s="3" t="str">
        <f t="shared" ca="1" si="1"/>
        <v>University of South Carolina - Spartanburg</v>
      </c>
      <c r="I1857" s="3" t="str">
        <f t="shared" ca="1" si="2"/>
        <v>'University of South Carolina - Spartanburg',</v>
      </c>
    </row>
    <row r="1858" spans="1:9">
      <c r="A1858" s="1" t="s">
        <v>1856</v>
      </c>
      <c r="B1858" s="3" t="str">
        <f ca="1">IFERROR(__xludf.DUMMYFUNCTION("SPLIT(A1858,"","")"),"US")</f>
        <v>US</v>
      </c>
      <c r="C1858" s="3" t="str">
        <f ca="1">IFERROR(__xludf.DUMMYFUNCTION("""COMPUTED_VALUE"""),"University of South Carolina - Sumter")</f>
        <v>University of South Carolina - Sumter</v>
      </c>
      <c r="D1858" s="4" t="str">
        <f ca="1">IFERROR(__xludf.DUMMYFUNCTION("""COMPUTED_VALUE"""),"http://www.uscsumter.edu/")</f>
        <v>http://www.uscsumter.edu/</v>
      </c>
      <c r="G1858" s="2" t="str">
        <f t="shared" ca="1" si="0"/>
        <v>University of South Carolina - Sumter</v>
      </c>
      <c r="H1858" s="3" t="str">
        <f t="shared" ca="1" si="1"/>
        <v>University of South Carolina - Sumter</v>
      </c>
      <c r="I1858" s="3" t="str">
        <f t="shared" ca="1" si="2"/>
        <v>'University of South Carolina - Sumter',</v>
      </c>
    </row>
    <row r="1859" spans="1:9">
      <c r="A1859" s="1" t="s">
        <v>1857</v>
      </c>
      <c r="B1859" s="3" t="str">
        <f ca="1">IFERROR(__xludf.DUMMYFUNCTION("SPLIT(A1859,"","")"),"US")</f>
        <v>US</v>
      </c>
      <c r="C1859" s="3" t="str">
        <f ca="1">IFERROR(__xludf.DUMMYFUNCTION("""COMPUTED_VALUE"""),"University of South Carolina - Union")</f>
        <v>University of South Carolina - Union</v>
      </c>
      <c r="D1859" s="4" t="str">
        <f ca="1">IFERROR(__xludf.DUMMYFUNCTION("""COMPUTED_VALUE"""),"http://www.sc.edu/union/")</f>
        <v>http://www.sc.edu/union/</v>
      </c>
      <c r="G1859" s="2" t="str">
        <f t="shared" ca="1" si="0"/>
        <v>University of South Carolina - Union</v>
      </c>
      <c r="H1859" s="3" t="str">
        <f t="shared" ca="1" si="1"/>
        <v>University of South Carolina - Union</v>
      </c>
      <c r="I1859" s="3" t="str">
        <f t="shared" ca="1" si="2"/>
        <v>'University of South Carolina - Union',</v>
      </c>
    </row>
    <row r="1860" spans="1:9">
      <c r="A1860" s="1" t="s">
        <v>1858</v>
      </c>
      <c r="B1860" s="3" t="str">
        <f ca="1">IFERROR(__xludf.DUMMYFUNCTION("SPLIT(A1860,"","")"),"US")</f>
        <v>US</v>
      </c>
      <c r="C1860" s="3" t="str">
        <f ca="1">IFERROR(__xludf.DUMMYFUNCTION("""COMPUTED_VALUE"""),"University of South Dakota")</f>
        <v>University of South Dakota</v>
      </c>
      <c r="D1860" s="4" t="str">
        <f ca="1">IFERROR(__xludf.DUMMYFUNCTION("""COMPUTED_VALUE"""),"http://www.usd.edu/")</f>
        <v>http://www.usd.edu/</v>
      </c>
      <c r="G1860" s="2" t="str">
        <f t="shared" ca="1" si="0"/>
        <v>University of South Dakota</v>
      </c>
      <c r="H1860" s="3" t="str">
        <f t="shared" ca="1" si="1"/>
        <v>University of South Dakota</v>
      </c>
      <c r="I1860" s="3" t="str">
        <f t="shared" ca="1" si="2"/>
        <v>'University of South Dakota',</v>
      </c>
    </row>
    <row r="1861" spans="1:9">
      <c r="A1861" s="1" t="s">
        <v>1859</v>
      </c>
      <c r="B1861" s="3" t="str">
        <f ca="1">IFERROR(__xludf.DUMMYFUNCTION("SPLIT(A1861,"","")"),"US")</f>
        <v>US</v>
      </c>
      <c r="C1861" s="3" t="str">
        <f ca="1">IFERROR(__xludf.DUMMYFUNCTION("""COMPUTED_VALUE"""),"University of Southern California")</f>
        <v>University of Southern California</v>
      </c>
      <c r="D1861" s="4" t="str">
        <f ca="1">IFERROR(__xludf.DUMMYFUNCTION("""COMPUTED_VALUE"""),"http://www.usc.edu/")</f>
        <v>http://www.usc.edu/</v>
      </c>
      <c r="G1861" s="2" t="str">
        <f t="shared" ca="1" si="0"/>
        <v>University of Southern California</v>
      </c>
      <c r="H1861" s="3" t="str">
        <f t="shared" ca="1" si="1"/>
        <v>University of Southern California</v>
      </c>
      <c r="I1861" s="3" t="str">
        <f t="shared" ca="1" si="2"/>
        <v>'University of Southern California',</v>
      </c>
    </row>
    <row r="1862" spans="1:9">
      <c r="A1862" s="1" t="s">
        <v>1860</v>
      </c>
      <c r="B1862" s="3" t="str">
        <f ca="1">IFERROR(__xludf.DUMMYFUNCTION("SPLIT(A1862,"","")"),"US")</f>
        <v>US</v>
      </c>
      <c r="C1862" s="3" t="str">
        <f ca="1">IFERROR(__xludf.DUMMYFUNCTION("""COMPUTED_VALUE"""),"University of Southern Indiana")</f>
        <v>University of Southern Indiana</v>
      </c>
      <c r="D1862" s="4" t="str">
        <f ca="1">IFERROR(__xludf.DUMMYFUNCTION("""COMPUTED_VALUE"""),"http://www.usi.edu/")</f>
        <v>http://www.usi.edu/</v>
      </c>
      <c r="G1862" s="2" t="str">
        <f t="shared" ca="1" si="0"/>
        <v>University of Southern Indiana</v>
      </c>
      <c r="H1862" s="3" t="str">
        <f t="shared" ca="1" si="1"/>
        <v>University of Southern Indiana</v>
      </c>
      <c r="I1862" s="3" t="str">
        <f t="shared" ca="1" si="2"/>
        <v>'University of Southern Indiana',</v>
      </c>
    </row>
    <row r="1863" spans="1:9">
      <c r="A1863" s="1" t="s">
        <v>1861</v>
      </c>
      <c r="B1863" s="3" t="str">
        <f ca="1">IFERROR(__xludf.DUMMYFUNCTION("SPLIT(A1863,"","")"),"US")</f>
        <v>US</v>
      </c>
      <c r="C1863" s="3" t="str">
        <f ca="1">IFERROR(__xludf.DUMMYFUNCTION("""COMPUTED_VALUE"""),"University of Southern Maine")</f>
        <v>University of Southern Maine</v>
      </c>
      <c r="D1863" s="4" t="str">
        <f ca="1">IFERROR(__xludf.DUMMYFUNCTION("""COMPUTED_VALUE"""),"http://www.usm.maine.edu/")</f>
        <v>http://www.usm.maine.edu/</v>
      </c>
      <c r="G1863" s="2" t="str">
        <f t="shared" ca="1" si="0"/>
        <v>University of Southern Maine</v>
      </c>
      <c r="H1863" s="3" t="str">
        <f t="shared" ca="1" si="1"/>
        <v>University of Southern Maine</v>
      </c>
      <c r="I1863" s="3" t="str">
        <f t="shared" ca="1" si="2"/>
        <v>'University of Southern Maine',</v>
      </c>
    </row>
    <row r="1864" spans="1:9">
      <c r="A1864" s="1" t="s">
        <v>1862</v>
      </c>
      <c r="B1864" s="3" t="str">
        <f ca="1">IFERROR(__xludf.DUMMYFUNCTION("SPLIT(A1864,"","")"),"US")</f>
        <v>US</v>
      </c>
      <c r="C1864" s="3" t="str">
        <f ca="1">IFERROR(__xludf.DUMMYFUNCTION("""COMPUTED_VALUE"""),"University of Southern Mississippi")</f>
        <v>University of Southern Mississippi</v>
      </c>
      <c r="D1864" s="4" t="str">
        <f ca="1">IFERROR(__xludf.DUMMYFUNCTION("""COMPUTED_VALUE"""),"http://www.usm.edu/")</f>
        <v>http://www.usm.edu/</v>
      </c>
      <c r="G1864" s="2" t="str">
        <f t="shared" ca="1" si="0"/>
        <v>University of Southern Mississippi</v>
      </c>
      <c r="H1864" s="3" t="str">
        <f t="shared" ca="1" si="1"/>
        <v>University of Southern Mississippi</v>
      </c>
      <c r="I1864" s="3" t="str">
        <f t="shared" ca="1" si="2"/>
        <v>'University of Southern Mississippi',</v>
      </c>
    </row>
    <row r="1865" spans="1:9">
      <c r="A1865" s="1" t="s">
        <v>1863</v>
      </c>
      <c r="B1865" s="3" t="str">
        <f ca="1">IFERROR(__xludf.DUMMYFUNCTION("SPLIT(A1865,"","")"),"US")</f>
        <v>US</v>
      </c>
      <c r="C1865" s="3" t="str">
        <f ca="1">IFERROR(__xludf.DUMMYFUNCTION("""COMPUTED_VALUE"""),"University of South Florida")</f>
        <v>University of South Florida</v>
      </c>
      <c r="D1865" s="4" t="str">
        <f ca="1">IFERROR(__xludf.DUMMYFUNCTION("""COMPUTED_VALUE"""),"http://www.usf.edu/")</f>
        <v>http://www.usf.edu/</v>
      </c>
      <c r="G1865" s="2" t="str">
        <f t="shared" ca="1" si="0"/>
        <v>University of South Florida</v>
      </c>
      <c r="H1865" s="3" t="str">
        <f t="shared" ca="1" si="1"/>
        <v>University of South Florida</v>
      </c>
      <c r="I1865" s="3" t="str">
        <f t="shared" ca="1" si="2"/>
        <v>'University of South Florida',</v>
      </c>
    </row>
    <row r="1866" spans="1:9">
      <c r="A1866" s="1" t="s">
        <v>1864</v>
      </c>
      <c r="B1866" s="3" t="str">
        <f ca="1">IFERROR(__xludf.DUMMYFUNCTION("SPLIT(A1866,"","")"),"US")</f>
        <v>US</v>
      </c>
      <c r="C1866" s="3" t="str">
        <f ca="1">IFERROR(__xludf.DUMMYFUNCTION("""COMPUTED_VALUE"""),"University of St. Francis")</f>
        <v>University of St. Francis</v>
      </c>
      <c r="D1866" s="4" t="str">
        <f ca="1">IFERROR(__xludf.DUMMYFUNCTION("""COMPUTED_VALUE"""),"http://www.stfrancis.edu/")</f>
        <v>http://www.stfrancis.edu/</v>
      </c>
      <c r="G1866" s="2" t="str">
        <f t="shared" ca="1" si="0"/>
        <v>University of St. Francis</v>
      </c>
      <c r="H1866" s="3" t="str">
        <f t="shared" ca="1" si="1"/>
        <v>University of St. Francis</v>
      </c>
      <c r="I1866" s="3" t="str">
        <f t="shared" ca="1" si="2"/>
        <v>'University of St. Francis',</v>
      </c>
    </row>
    <row r="1867" spans="1:9">
      <c r="A1867" s="1" t="s">
        <v>1865</v>
      </c>
      <c r="B1867" s="3" t="str">
        <f ca="1">IFERROR(__xludf.DUMMYFUNCTION("SPLIT(A1867,"","")"),"US")</f>
        <v>US</v>
      </c>
      <c r="C1867" s="3" t="str">
        <f ca="1">IFERROR(__xludf.DUMMYFUNCTION("""COMPUTED_VALUE"""),"""University of St. Thomas")</f>
        <v>"University of St. Thomas</v>
      </c>
      <c r="D1867" s="3" t="str">
        <f ca="1">IFERROR(__xludf.DUMMYFUNCTION("""COMPUTED_VALUE""")," Houston""")</f>
        <v xml:space="preserve"> Houston"</v>
      </c>
      <c r="E1867" s="4" t="str">
        <f ca="1">IFERROR(__xludf.DUMMYFUNCTION("""COMPUTED_VALUE"""),"http://www.stthom.edu/")</f>
        <v>http://www.stthom.edu/</v>
      </c>
      <c r="G1867" s="2" t="str">
        <f t="shared" ca="1" si="0"/>
        <v>"University of St. Thomas</v>
      </c>
      <c r="H1867" s="3" t="str">
        <f t="shared" ca="1" si="1"/>
        <v>University of St. Thomas</v>
      </c>
      <c r="I1867" s="3" t="str">
        <f t="shared" ca="1" si="2"/>
        <v>'University of St. Thomas',</v>
      </c>
    </row>
    <row r="1868" spans="1:9">
      <c r="A1868" s="1" t="s">
        <v>1866</v>
      </c>
      <c r="B1868" s="3" t="str">
        <f ca="1">IFERROR(__xludf.DUMMYFUNCTION("SPLIT(A1868,"","")"),"US")</f>
        <v>US</v>
      </c>
      <c r="C1868" s="3" t="str">
        <f ca="1">IFERROR(__xludf.DUMMYFUNCTION("""COMPUTED_VALUE"""),"""University of St. Thomas")</f>
        <v>"University of St. Thomas</v>
      </c>
      <c r="D1868" s="3" t="str">
        <f ca="1">IFERROR(__xludf.DUMMYFUNCTION("""COMPUTED_VALUE""")," St. Paul""")</f>
        <v xml:space="preserve"> St. Paul"</v>
      </c>
      <c r="E1868" s="4" t="str">
        <f ca="1">IFERROR(__xludf.DUMMYFUNCTION("""COMPUTED_VALUE"""),"http://www.stthomas.edu/")</f>
        <v>http://www.stthomas.edu/</v>
      </c>
      <c r="G1868" s="2" t="str">
        <f t="shared" ca="1" si="0"/>
        <v>"University of St. Thomas</v>
      </c>
      <c r="H1868" s="3" t="str">
        <f t="shared" ca="1" si="1"/>
        <v>University of St. Thomas</v>
      </c>
      <c r="I1868" s="3" t="str">
        <f t="shared" ca="1" si="2"/>
        <v>'University of St. Thomas',</v>
      </c>
    </row>
    <row r="1869" spans="1:9">
      <c r="A1869" s="1" t="s">
        <v>1867</v>
      </c>
      <c r="B1869" s="3" t="str">
        <f ca="1">IFERROR(__xludf.DUMMYFUNCTION("SPLIT(A1869,"","")"),"US")</f>
        <v>US</v>
      </c>
      <c r="C1869" s="3" t="str">
        <f ca="1">IFERROR(__xludf.DUMMYFUNCTION("""COMPUTED_VALUE"""),"University of Tampa")</f>
        <v>University of Tampa</v>
      </c>
      <c r="D1869" s="4" t="str">
        <f ca="1">IFERROR(__xludf.DUMMYFUNCTION("""COMPUTED_VALUE"""),"http://www.utampa.edu/")</f>
        <v>http://www.utampa.edu/</v>
      </c>
      <c r="G1869" s="2" t="str">
        <f t="shared" ca="1" si="0"/>
        <v>University of Tampa</v>
      </c>
      <c r="H1869" s="3" t="str">
        <f t="shared" ca="1" si="1"/>
        <v>University of Tampa</v>
      </c>
      <c r="I1869" s="3" t="str">
        <f t="shared" ca="1" si="2"/>
        <v>'University of Tampa',</v>
      </c>
    </row>
    <row r="1870" spans="1:9">
      <c r="A1870" s="1" t="s">
        <v>1868</v>
      </c>
      <c r="B1870" s="3" t="str">
        <f ca="1">IFERROR(__xludf.DUMMYFUNCTION("SPLIT(A1870,"","")"),"US")</f>
        <v>US</v>
      </c>
      <c r="C1870" s="3" t="str">
        <f ca="1">IFERROR(__xludf.DUMMYFUNCTION("""COMPUTED_VALUE"""),"University of Tennessee - Chattanooga")</f>
        <v>University of Tennessee - Chattanooga</v>
      </c>
      <c r="D1870" s="4" t="str">
        <f ca="1">IFERROR(__xludf.DUMMYFUNCTION("""COMPUTED_VALUE"""),"http://www.utc.edu/")</f>
        <v>http://www.utc.edu/</v>
      </c>
      <c r="G1870" s="2" t="str">
        <f t="shared" ca="1" si="0"/>
        <v>University of Tennessee - Chattanooga</v>
      </c>
      <c r="H1870" s="3" t="str">
        <f t="shared" ca="1" si="1"/>
        <v>University of Tennessee - Chattanooga</v>
      </c>
      <c r="I1870" s="3" t="str">
        <f t="shared" ca="1" si="2"/>
        <v>'University of Tennessee - Chattanooga',</v>
      </c>
    </row>
    <row r="1871" spans="1:9">
      <c r="A1871" s="1" t="s">
        <v>1869</v>
      </c>
      <c r="B1871" s="3" t="str">
        <f ca="1">IFERROR(__xludf.DUMMYFUNCTION("SPLIT(A1871,"","")"),"US")</f>
        <v>US</v>
      </c>
      <c r="C1871" s="3" t="str">
        <f ca="1">IFERROR(__xludf.DUMMYFUNCTION("""COMPUTED_VALUE"""),"University of Tennessee - Knoxville")</f>
        <v>University of Tennessee - Knoxville</v>
      </c>
      <c r="D1871" s="4" t="str">
        <f ca="1">IFERROR(__xludf.DUMMYFUNCTION("""COMPUTED_VALUE"""),"http://www.utk.edu/")</f>
        <v>http://www.utk.edu/</v>
      </c>
      <c r="G1871" s="2" t="str">
        <f t="shared" ca="1" si="0"/>
        <v>University of Tennessee - Knoxville</v>
      </c>
      <c r="H1871" s="3" t="str">
        <f t="shared" ca="1" si="1"/>
        <v>University of Tennessee - Knoxville</v>
      </c>
      <c r="I1871" s="3" t="str">
        <f t="shared" ca="1" si="2"/>
        <v>'University of Tennessee - Knoxville',</v>
      </c>
    </row>
    <row r="1872" spans="1:9">
      <c r="A1872" s="1" t="s">
        <v>1870</v>
      </c>
      <c r="B1872" s="3" t="str">
        <f ca="1">IFERROR(__xludf.DUMMYFUNCTION("SPLIT(A1872,"","")"),"US")</f>
        <v>US</v>
      </c>
      <c r="C1872" s="3" t="str">
        <f ca="1">IFERROR(__xludf.DUMMYFUNCTION("""COMPUTED_VALUE"""),"University of Tennessee - Martin")</f>
        <v>University of Tennessee - Martin</v>
      </c>
      <c r="D1872" s="4" t="str">
        <f ca="1">IFERROR(__xludf.DUMMYFUNCTION("""COMPUTED_VALUE"""),"http://www.utm.edu/")</f>
        <v>http://www.utm.edu/</v>
      </c>
      <c r="G1872" s="2" t="str">
        <f t="shared" ca="1" si="0"/>
        <v>University of Tennessee - Martin</v>
      </c>
      <c r="H1872" s="3" t="str">
        <f t="shared" ca="1" si="1"/>
        <v>University of Tennessee - Martin</v>
      </c>
      <c r="I1872" s="3" t="str">
        <f t="shared" ca="1" si="2"/>
        <v>'University of Tennessee - Martin',</v>
      </c>
    </row>
    <row r="1873" spans="1:9">
      <c r="A1873" s="1" t="s">
        <v>1871</v>
      </c>
      <c r="B1873" s="3" t="str">
        <f ca="1">IFERROR(__xludf.DUMMYFUNCTION("SPLIT(A1873,"","")"),"US")</f>
        <v>US</v>
      </c>
      <c r="C1873" s="3" t="str">
        <f ca="1">IFERROR(__xludf.DUMMYFUNCTION("""COMPUTED_VALUE"""),"University of Tennessee - Memphis")</f>
        <v>University of Tennessee - Memphis</v>
      </c>
      <c r="D1873" s="4" t="str">
        <f ca="1">IFERROR(__xludf.DUMMYFUNCTION("""COMPUTED_VALUE"""),"http://www.utmem.edu/")</f>
        <v>http://www.utmem.edu/</v>
      </c>
      <c r="G1873" s="2" t="str">
        <f t="shared" ca="1" si="0"/>
        <v>University of Tennessee - Memphis</v>
      </c>
      <c r="H1873" s="3" t="str">
        <f t="shared" ca="1" si="1"/>
        <v>University of Tennessee - Memphis</v>
      </c>
      <c r="I1873" s="3" t="str">
        <f t="shared" ca="1" si="2"/>
        <v>'University of Tennessee - Memphis',</v>
      </c>
    </row>
    <row r="1874" spans="1:9">
      <c r="A1874" s="1" t="s">
        <v>1872</v>
      </c>
      <c r="B1874" s="3" t="str">
        <f ca="1">IFERROR(__xludf.DUMMYFUNCTION("SPLIT(A1874,"","")"),"US")</f>
        <v>US</v>
      </c>
      <c r="C1874" s="3" t="str">
        <f ca="1">IFERROR(__xludf.DUMMYFUNCTION("""COMPUTED_VALUE"""),"University of Tennessee Space Institute")</f>
        <v>University of Tennessee Space Institute</v>
      </c>
      <c r="D1874" s="4" t="str">
        <f ca="1">IFERROR(__xludf.DUMMYFUNCTION("""COMPUTED_VALUE"""),"http://www.utsi.edu/")</f>
        <v>http://www.utsi.edu/</v>
      </c>
      <c r="G1874" s="2" t="str">
        <f t="shared" ca="1" si="0"/>
        <v>University of Tennessee Space Institute</v>
      </c>
      <c r="H1874" s="3" t="str">
        <f t="shared" ca="1" si="1"/>
        <v>University of Tennessee Space Institute</v>
      </c>
      <c r="I1874" s="3" t="str">
        <f t="shared" ca="1" si="2"/>
        <v>'University of Tennessee Space Institute',</v>
      </c>
    </row>
    <row r="1875" spans="1:9">
      <c r="A1875" s="1" t="s">
        <v>1873</v>
      </c>
      <c r="B1875" s="3" t="str">
        <f ca="1">IFERROR(__xludf.DUMMYFUNCTION("SPLIT(A1875,"","")"),"US")</f>
        <v>US</v>
      </c>
      <c r="C1875" s="3" t="str">
        <f ca="1">IFERROR(__xludf.DUMMYFUNCTION("""COMPUTED_VALUE"""),"University of Texas")</f>
        <v>University of Texas</v>
      </c>
      <c r="D1875" s="4" t="str">
        <f ca="1">IFERROR(__xludf.DUMMYFUNCTION("""COMPUTED_VALUE"""),"http://www.utsystem.edu/")</f>
        <v>http://www.utsystem.edu/</v>
      </c>
      <c r="G1875" s="2" t="str">
        <f t="shared" ca="1" si="0"/>
        <v>University of Texas</v>
      </c>
      <c r="H1875" s="3" t="str">
        <f t="shared" ca="1" si="1"/>
        <v>University of Texas</v>
      </c>
      <c r="I1875" s="3" t="str">
        <f t="shared" ca="1" si="2"/>
        <v>'University of Texas',</v>
      </c>
    </row>
    <row r="1876" spans="1:9">
      <c r="A1876" s="1" t="s">
        <v>1874</v>
      </c>
      <c r="B1876" s="3" t="str">
        <f ca="1">IFERROR(__xludf.DUMMYFUNCTION("SPLIT(A1876,"","")"),"US")</f>
        <v>US</v>
      </c>
      <c r="C1876" s="3" t="str">
        <f ca="1">IFERROR(__xludf.DUMMYFUNCTION("""COMPUTED_VALUE"""),"University of Texas at Arlington")</f>
        <v>University of Texas at Arlington</v>
      </c>
      <c r="D1876" s="4" t="str">
        <f ca="1">IFERROR(__xludf.DUMMYFUNCTION("""COMPUTED_VALUE"""),"http://www.uta.edu/")</f>
        <v>http://www.uta.edu/</v>
      </c>
      <c r="G1876" s="2" t="str">
        <f t="shared" ca="1" si="0"/>
        <v>University of Texas at Arlington</v>
      </c>
      <c r="H1876" s="3" t="str">
        <f t="shared" ca="1" si="1"/>
        <v>University of Texas at Arlington</v>
      </c>
      <c r="I1876" s="3" t="str">
        <f t="shared" ca="1" si="2"/>
        <v>'University of Texas at Arlington',</v>
      </c>
    </row>
    <row r="1877" spans="1:9">
      <c r="A1877" s="1" t="s">
        <v>1875</v>
      </c>
      <c r="B1877" s="3" t="str">
        <f ca="1">IFERROR(__xludf.DUMMYFUNCTION("SPLIT(A1877,"","")"),"US")</f>
        <v>US</v>
      </c>
      <c r="C1877" s="3" t="str">
        <f ca="1">IFERROR(__xludf.DUMMYFUNCTION("""COMPUTED_VALUE"""),"University of Texas at Austin")</f>
        <v>University of Texas at Austin</v>
      </c>
      <c r="D1877" s="4" t="str">
        <f ca="1">IFERROR(__xludf.DUMMYFUNCTION("""COMPUTED_VALUE"""),"http://www.utexas.edu/")</f>
        <v>http://www.utexas.edu/</v>
      </c>
      <c r="G1877" s="2" t="str">
        <f t="shared" ca="1" si="0"/>
        <v>University of Texas at Austin</v>
      </c>
      <c r="H1877" s="3" t="str">
        <f t="shared" ca="1" si="1"/>
        <v>University of Texas at Austin</v>
      </c>
      <c r="I1877" s="3" t="str">
        <f t="shared" ca="1" si="2"/>
        <v>'University of Texas at Austin',</v>
      </c>
    </row>
    <row r="1878" spans="1:9">
      <c r="A1878" s="1" t="s">
        <v>1876</v>
      </c>
      <c r="B1878" s="3" t="str">
        <f ca="1">IFERROR(__xludf.DUMMYFUNCTION("SPLIT(A1878,"","")"),"US")</f>
        <v>US</v>
      </c>
      <c r="C1878" s="3" t="str">
        <f ca="1">IFERROR(__xludf.DUMMYFUNCTION("""COMPUTED_VALUE"""),"University of Texas at Brownsville")</f>
        <v>University of Texas at Brownsville</v>
      </c>
      <c r="D1878" s="4" t="str">
        <f ca="1">IFERROR(__xludf.DUMMYFUNCTION("""COMPUTED_VALUE"""),"http://www.utb.edu/")</f>
        <v>http://www.utb.edu/</v>
      </c>
      <c r="G1878" s="2" t="str">
        <f t="shared" ca="1" si="0"/>
        <v>University of Texas at Brownsville</v>
      </c>
      <c r="H1878" s="3" t="str">
        <f t="shared" ca="1" si="1"/>
        <v>University of Texas at Brownsville</v>
      </c>
      <c r="I1878" s="3" t="str">
        <f t="shared" ca="1" si="2"/>
        <v>'University of Texas at Brownsville',</v>
      </c>
    </row>
    <row r="1879" spans="1:9">
      <c r="A1879" s="1" t="s">
        <v>1877</v>
      </c>
      <c r="B1879" s="3" t="str">
        <f ca="1">IFERROR(__xludf.DUMMYFUNCTION("SPLIT(A1879,"","")"),"US")</f>
        <v>US</v>
      </c>
      <c r="C1879" s="3" t="str">
        <f ca="1">IFERROR(__xludf.DUMMYFUNCTION("""COMPUTED_VALUE"""),"University of Texas at Dallas")</f>
        <v>University of Texas at Dallas</v>
      </c>
      <c r="D1879" s="4" t="str">
        <f ca="1">IFERROR(__xludf.DUMMYFUNCTION("""COMPUTED_VALUE"""),"http://www.utdallas.edu/")</f>
        <v>http://www.utdallas.edu/</v>
      </c>
      <c r="G1879" s="2" t="str">
        <f t="shared" ca="1" si="0"/>
        <v>University of Texas at Dallas</v>
      </c>
      <c r="H1879" s="3" t="str">
        <f t="shared" ca="1" si="1"/>
        <v>University of Texas at Dallas</v>
      </c>
      <c r="I1879" s="3" t="str">
        <f t="shared" ca="1" si="2"/>
        <v>'University of Texas at Dallas',</v>
      </c>
    </row>
    <row r="1880" spans="1:9">
      <c r="A1880" s="1" t="s">
        <v>1878</v>
      </c>
      <c r="B1880" s="3" t="str">
        <f ca="1">IFERROR(__xludf.DUMMYFUNCTION("SPLIT(A1880,"","")"),"US")</f>
        <v>US</v>
      </c>
      <c r="C1880" s="3" t="str">
        <f ca="1">IFERROR(__xludf.DUMMYFUNCTION("""COMPUTED_VALUE"""),"University of Texas at El Paso")</f>
        <v>University of Texas at El Paso</v>
      </c>
      <c r="D1880" s="4" t="str">
        <f ca="1">IFERROR(__xludf.DUMMYFUNCTION("""COMPUTED_VALUE"""),"http://www.utep.edu/")</f>
        <v>http://www.utep.edu/</v>
      </c>
      <c r="G1880" s="2" t="str">
        <f t="shared" ca="1" si="0"/>
        <v>University of Texas at El Paso</v>
      </c>
      <c r="H1880" s="3" t="str">
        <f t="shared" ca="1" si="1"/>
        <v>University of Texas at El Paso</v>
      </c>
      <c r="I1880" s="3" t="str">
        <f t="shared" ca="1" si="2"/>
        <v>'University of Texas at El Paso',</v>
      </c>
    </row>
    <row r="1881" spans="1:9">
      <c r="A1881" s="1" t="s">
        <v>1879</v>
      </c>
      <c r="B1881" s="3" t="str">
        <f ca="1">IFERROR(__xludf.DUMMYFUNCTION("SPLIT(A1881,"","")"),"US")</f>
        <v>US</v>
      </c>
      <c r="C1881" s="3" t="str">
        <f ca="1">IFERROR(__xludf.DUMMYFUNCTION("""COMPUTED_VALUE"""),"University of Texas at San Antonio")</f>
        <v>University of Texas at San Antonio</v>
      </c>
      <c r="D1881" s="4" t="str">
        <f ca="1">IFERROR(__xludf.DUMMYFUNCTION("""COMPUTED_VALUE"""),"http://www.utsa.edu/")</f>
        <v>http://www.utsa.edu/</v>
      </c>
      <c r="G1881" s="2" t="str">
        <f t="shared" ca="1" si="0"/>
        <v>University of Texas at San Antonio</v>
      </c>
      <c r="H1881" s="3" t="str">
        <f t="shared" ca="1" si="1"/>
        <v>University of Texas at San Antonio</v>
      </c>
      <c r="I1881" s="3" t="str">
        <f t="shared" ca="1" si="2"/>
        <v>'University of Texas at San Antonio',</v>
      </c>
    </row>
    <row r="1882" spans="1:9">
      <c r="A1882" s="1" t="s">
        <v>1880</v>
      </c>
      <c r="B1882" s="3" t="str">
        <f ca="1">IFERROR(__xludf.DUMMYFUNCTION("SPLIT(A1882,"","")"),"US")</f>
        <v>US</v>
      </c>
      <c r="C1882" s="3" t="str">
        <f ca="1">IFERROR(__xludf.DUMMYFUNCTION("""COMPUTED_VALUE"""),"University of Texas at Tyler")</f>
        <v>University of Texas at Tyler</v>
      </c>
      <c r="D1882" s="4" t="str">
        <f ca="1">IFERROR(__xludf.DUMMYFUNCTION("""COMPUTED_VALUE"""),"http://www.uttyl.edu/")</f>
        <v>http://www.uttyl.edu/</v>
      </c>
      <c r="G1882" s="2" t="str">
        <f t="shared" ca="1" si="0"/>
        <v>University of Texas at Tyler</v>
      </c>
      <c r="H1882" s="3" t="str">
        <f t="shared" ca="1" si="1"/>
        <v>University of Texas at Tyler</v>
      </c>
      <c r="I1882" s="3" t="str">
        <f t="shared" ca="1" si="2"/>
        <v>'University of Texas at Tyler',</v>
      </c>
    </row>
    <row r="1883" spans="1:9">
      <c r="A1883" s="1" t="s">
        <v>1881</v>
      </c>
      <c r="B1883" s="3" t="str">
        <f ca="1">IFERROR(__xludf.DUMMYFUNCTION("SPLIT(A1883,"","")"),"US")</f>
        <v>US</v>
      </c>
      <c r="C1883" s="3" t="str">
        <f ca="1">IFERROR(__xludf.DUMMYFUNCTION("""COMPUTED_VALUE"""),"University of Texas Health Center at Houston")</f>
        <v>University of Texas Health Center at Houston</v>
      </c>
      <c r="D1883" s="4" t="str">
        <f ca="1">IFERROR(__xludf.DUMMYFUNCTION("""COMPUTED_VALUE"""),"http://www.uthouston.edu/")</f>
        <v>http://www.uthouston.edu/</v>
      </c>
      <c r="G1883" s="2" t="str">
        <f t="shared" ca="1" si="0"/>
        <v>University of Texas Health Center at Houston</v>
      </c>
      <c r="H1883" s="3" t="str">
        <f t="shared" ca="1" si="1"/>
        <v>University of Texas Health Center at Houston</v>
      </c>
      <c r="I1883" s="3" t="str">
        <f t="shared" ca="1" si="2"/>
        <v>'University of Texas Health Center at Houston',</v>
      </c>
    </row>
    <row r="1884" spans="1:9">
      <c r="A1884" s="1" t="s">
        <v>1882</v>
      </c>
      <c r="B1884" s="3" t="str">
        <f ca="1">IFERROR(__xludf.DUMMYFUNCTION("SPLIT(A1884,"","")"),"US")</f>
        <v>US</v>
      </c>
      <c r="C1884" s="3" t="str">
        <f ca="1">IFERROR(__xludf.DUMMYFUNCTION("""COMPUTED_VALUE"""),"University of Texas Health Center at Tyler")</f>
        <v>University of Texas Health Center at Tyler</v>
      </c>
      <c r="D1884" s="4" t="str">
        <f ca="1">IFERROR(__xludf.DUMMYFUNCTION("""COMPUTED_VALUE"""),"http://www.uthct.edu/")</f>
        <v>http://www.uthct.edu/</v>
      </c>
      <c r="G1884" s="2" t="str">
        <f t="shared" ca="1" si="0"/>
        <v>University of Texas Health Center at Tyler</v>
      </c>
      <c r="H1884" s="3" t="str">
        <f t="shared" ca="1" si="1"/>
        <v>University of Texas Health Center at Tyler</v>
      </c>
      <c r="I1884" s="3" t="str">
        <f t="shared" ca="1" si="2"/>
        <v>'University of Texas Health Center at Tyler',</v>
      </c>
    </row>
    <row r="1885" spans="1:9">
      <c r="A1885" s="1" t="s">
        <v>1883</v>
      </c>
      <c r="B1885" s="3" t="str">
        <f ca="1">IFERROR(__xludf.DUMMYFUNCTION("SPLIT(A1885,"","")"),"US")</f>
        <v>US</v>
      </c>
      <c r="C1885" s="3" t="str">
        <f ca="1">IFERROR(__xludf.DUMMYFUNCTION("""COMPUTED_VALUE"""),"University of Texas Health Science Center at San Antonio")</f>
        <v>University of Texas Health Science Center at San Antonio</v>
      </c>
      <c r="D1885" s="4" t="str">
        <f ca="1">IFERROR(__xludf.DUMMYFUNCTION("""COMPUTED_VALUE"""),"http://www.uthscsa.edu/")</f>
        <v>http://www.uthscsa.edu/</v>
      </c>
      <c r="G1885" s="2" t="str">
        <f t="shared" ca="1" si="0"/>
        <v>University of Texas Health Science Center at San Antonio</v>
      </c>
      <c r="H1885" s="3" t="str">
        <f t="shared" ca="1" si="1"/>
        <v>University of Texas Health Science Center at San Antonio</v>
      </c>
      <c r="I1885" s="3" t="str">
        <f t="shared" ca="1" si="2"/>
        <v>'University of Texas Health Science Center at San Antonio',</v>
      </c>
    </row>
    <row r="1886" spans="1:9">
      <c r="A1886" s="1" t="s">
        <v>1884</v>
      </c>
      <c r="B1886" s="3" t="str">
        <f ca="1">IFERROR(__xludf.DUMMYFUNCTION("SPLIT(A1886,"","")"),"US")</f>
        <v>US</v>
      </c>
      <c r="C1886" s="3" t="str">
        <f ca="1">IFERROR(__xludf.DUMMYFUNCTION("""COMPUTED_VALUE"""),"University of Texas M.D. Anderson Cancer Center")</f>
        <v>University of Texas M.D. Anderson Cancer Center</v>
      </c>
      <c r="D1886" s="4" t="str">
        <f ca="1">IFERROR(__xludf.DUMMYFUNCTION("""COMPUTED_VALUE"""),"http://www.mdanderson.org/")</f>
        <v>http://www.mdanderson.org/</v>
      </c>
      <c r="G1886" s="2" t="str">
        <f t="shared" ca="1" si="0"/>
        <v>University of Texas M.D. Anderson Cancer Center</v>
      </c>
      <c r="H1886" s="3" t="str">
        <f t="shared" ca="1" si="1"/>
        <v>University of Texas M.D. Anderson Cancer Center</v>
      </c>
      <c r="I1886" s="3" t="str">
        <f t="shared" ca="1" si="2"/>
        <v>'University of Texas M.D. Anderson Cancer Center',</v>
      </c>
    </row>
    <row r="1887" spans="1:9">
      <c r="A1887" s="1" t="s">
        <v>1885</v>
      </c>
      <c r="B1887" s="3" t="str">
        <f ca="1">IFERROR(__xludf.DUMMYFUNCTION("SPLIT(A1887,"","")"),"US")</f>
        <v>US</v>
      </c>
      <c r="C1887" s="3" t="str">
        <f ca="1">IFERROR(__xludf.DUMMYFUNCTION("""COMPUTED_VALUE"""),"University of Texas Medical Branch Galveston")</f>
        <v>University of Texas Medical Branch Galveston</v>
      </c>
      <c r="D1887" s="4" t="str">
        <f ca="1">IFERROR(__xludf.DUMMYFUNCTION("""COMPUTED_VALUE"""),"http://www.utmb.edu/")</f>
        <v>http://www.utmb.edu/</v>
      </c>
      <c r="G1887" s="2" t="str">
        <f t="shared" ca="1" si="0"/>
        <v>University of Texas Medical Branch Galveston</v>
      </c>
      <c r="H1887" s="3" t="str">
        <f t="shared" ca="1" si="1"/>
        <v>University of Texas Medical Branch Galveston</v>
      </c>
      <c r="I1887" s="3" t="str">
        <f t="shared" ca="1" si="2"/>
        <v>'University of Texas Medical Branch Galveston',</v>
      </c>
    </row>
    <row r="1888" spans="1:9">
      <c r="A1888" s="1" t="s">
        <v>1886</v>
      </c>
      <c r="B1888" s="3" t="str">
        <f ca="1">IFERROR(__xludf.DUMMYFUNCTION("SPLIT(A1888,"","")"),"US")</f>
        <v>US</v>
      </c>
      <c r="C1888" s="3" t="str">
        <f ca="1">IFERROR(__xludf.DUMMYFUNCTION("""COMPUTED_VALUE"""),"University of Texas of the Permian Basin")</f>
        <v>University of Texas of the Permian Basin</v>
      </c>
      <c r="D1888" s="4" t="str">
        <f ca="1">IFERROR(__xludf.DUMMYFUNCTION("""COMPUTED_VALUE"""),"http://www.utpb.edu/")</f>
        <v>http://www.utpb.edu/</v>
      </c>
      <c r="G1888" s="2" t="str">
        <f t="shared" ca="1" si="0"/>
        <v>University of Texas of the Permian Basin</v>
      </c>
      <c r="H1888" s="3" t="str">
        <f t="shared" ca="1" si="1"/>
        <v>University of Texas of the Permian Basin</v>
      </c>
      <c r="I1888" s="3" t="str">
        <f t="shared" ca="1" si="2"/>
        <v>'University of Texas of the Permian Basin',</v>
      </c>
    </row>
    <row r="1889" spans="1:9">
      <c r="A1889" s="1" t="s">
        <v>1887</v>
      </c>
      <c r="B1889" s="3" t="str">
        <f ca="1">IFERROR(__xludf.DUMMYFUNCTION("SPLIT(A1889,"","")"),"US")</f>
        <v>US</v>
      </c>
      <c r="C1889" s="3" t="str">
        <f ca="1">IFERROR(__xludf.DUMMYFUNCTION("""COMPUTED_VALUE"""),"University of Texas Pan American")</f>
        <v>University of Texas Pan American</v>
      </c>
      <c r="D1889" s="4" t="str">
        <f ca="1">IFERROR(__xludf.DUMMYFUNCTION("""COMPUTED_VALUE"""),"http://www.panam.edu/")</f>
        <v>http://www.panam.edu/</v>
      </c>
      <c r="G1889" s="2" t="str">
        <f t="shared" ca="1" si="0"/>
        <v>University of Texas Pan American</v>
      </c>
      <c r="H1889" s="3" t="str">
        <f t="shared" ca="1" si="1"/>
        <v>University of Texas Pan American</v>
      </c>
      <c r="I1889" s="3" t="str">
        <f t="shared" ca="1" si="2"/>
        <v>'University of Texas Pan American',</v>
      </c>
    </row>
    <row r="1890" spans="1:9">
      <c r="A1890" s="1" t="s">
        <v>1888</v>
      </c>
      <c r="B1890" s="3" t="str">
        <f ca="1">IFERROR(__xludf.DUMMYFUNCTION("SPLIT(A1890,"","")"),"US")</f>
        <v>US</v>
      </c>
      <c r="C1890" s="3" t="str">
        <f ca="1">IFERROR(__xludf.DUMMYFUNCTION("""COMPUTED_VALUE"""),"University of Texas Southwestern Medical Center at Dallas")</f>
        <v>University of Texas Southwestern Medical Center at Dallas</v>
      </c>
      <c r="D1890" s="4" t="str">
        <f ca="1">IFERROR(__xludf.DUMMYFUNCTION("""COMPUTED_VALUE"""),"http://www.utsouthwestern.edu/")</f>
        <v>http://www.utsouthwestern.edu/</v>
      </c>
      <c r="G1890" s="2" t="str">
        <f t="shared" ca="1" si="0"/>
        <v>University of Texas Southwestern Medical Center at Dallas</v>
      </c>
      <c r="H1890" s="3" t="str">
        <f t="shared" ca="1" si="1"/>
        <v>University of Texas Southwestern Medical Center at Dallas</v>
      </c>
      <c r="I1890" s="3" t="str">
        <f t="shared" ca="1" si="2"/>
        <v>'University of Texas Southwestern Medical Center at Dallas',</v>
      </c>
    </row>
    <row r="1891" spans="1:9">
      <c r="A1891" s="1" t="s">
        <v>1889</v>
      </c>
      <c r="B1891" s="3" t="str">
        <f ca="1">IFERROR(__xludf.DUMMYFUNCTION("SPLIT(A1891,"","")"),"US")</f>
        <v>US</v>
      </c>
      <c r="C1891" s="3" t="str">
        <f ca="1">IFERROR(__xludf.DUMMYFUNCTION("""COMPUTED_VALUE"""),"University of the Arts")</f>
        <v>University of the Arts</v>
      </c>
      <c r="D1891" s="4" t="str">
        <f ca="1">IFERROR(__xludf.DUMMYFUNCTION("""COMPUTED_VALUE"""),"http://www.uarts.edu/")</f>
        <v>http://www.uarts.edu/</v>
      </c>
      <c r="G1891" s="2" t="str">
        <f t="shared" ca="1" si="0"/>
        <v>University of the Arts</v>
      </c>
      <c r="H1891" s="3" t="str">
        <f t="shared" ca="1" si="1"/>
        <v>University of the Arts</v>
      </c>
      <c r="I1891" s="3" t="str">
        <f t="shared" ca="1" si="2"/>
        <v>'University of the Arts',</v>
      </c>
    </row>
    <row r="1892" spans="1:9">
      <c r="A1892" s="1" t="s">
        <v>1890</v>
      </c>
      <c r="B1892" s="3" t="str">
        <f ca="1">IFERROR(__xludf.DUMMYFUNCTION("SPLIT(A1892,"","")"),"US")</f>
        <v>US</v>
      </c>
      <c r="C1892" s="3" t="str">
        <f ca="1">IFERROR(__xludf.DUMMYFUNCTION("""COMPUTED_VALUE"""),"University of the District of Columbia")</f>
        <v>University of the District of Columbia</v>
      </c>
      <c r="D1892" s="4" t="str">
        <f ca="1">IFERROR(__xludf.DUMMYFUNCTION("""COMPUTED_VALUE"""),"http://www.udc.edu/")</f>
        <v>http://www.udc.edu/</v>
      </c>
      <c r="G1892" s="2" t="str">
        <f t="shared" ca="1" si="0"/>
        <v>University of the District of Columbia</v>
      </c>
      <c r="H1892" s="3" t="str">
        <f t="shared" ca="1" si="1"/>
        <v>University of the District of Columbia</v>
      </c>
      <c r="I1892" s="3" t="str">
        <f t="shared" ca="1" si="2"/>
        <v>'University of the District of Columbia',</v>
      </c>
    </row>
    <row r="1893" spans="1:9">
      <c r="A1893" s="1" t="s">
        <v>1891</v>
      </c>
      <c r="B1893" s="3" t="str">
        <f ca="1">IFERROR(__xludf.DUMMYFUNCTION("SPLIT(A1893,"","")"),"US")</f>
        <v>US</v>
      </c>
      <c r="C1893" s="3" t="str">
        <f ca="1">IFERROR(__xludf.DUMMYFUNCTION("""COMPUTED_VALUE"""),"University of the Incarnate World")</f>
        <v>University of the Incarnate World</v>
      </c>
      <c r="D1893" s="4" t="str">
        <f ca="1">IFERROR(__xludf.DUMMYFUNCTION("""COMPUTED_VALUE"""),"http://www.uiw.edu/")</f>
        <v>http://www.uiw.edu/</v>
      </c>
      <c r="G1893" s="2" t="str">
        <f t="shared" ca="1" si="0"/>
        <v>University of the Incarnate World</v>
      </c>
      <c r="H1893" s="3" t="str">
        <f t="shared" ca="1" si="1"/>
        <v>University of the Incarnate World</v>
      </c>
      <c r="I1893" s="3" t="str">
        <f t="shared" ca="1" si="2"/>
        <v>'University of the Incarnate World',</v>
      </c>
    </row>
    <row r="1894" spans="1:9">
      <c r="A1894" s="1" t="s">
        <v>1892</v>
      </c>
      <c r="B1894" s="3" t="str">
        <f ca="1">IFERROR(__xludf.DUMMYFUNCTION("SPLIT(A1894,"","")"),"US")</f>
        <v>US</v>
      </c>
      <c r="C1894" s="3" t="str">
        <f ca="1">IFERROR(__xludf.DUMMYFUNCTION("""COMPUTED_VALUE"""),"University of the Ozarks")</f>
        <v>University of the Ozarks</v>
      </c>
      <c r="D1894" s="4" t="str">
        <f ca="1">IFERROR(__xludf.DUMMYFUNCTION("""COMPUTED_VALUE"""),"http://www.ozarks.edu/")</f>
        <v>http://www.ozarks.edu/</v>
      </c>
      <c r="G1894" s="2" t="str">
        <f t="shared" ca="1" si="0"/>
        <v>University of the Ozarks</v>
      </c>
      <c r="H1894" s="3" t="str">
        <f t="shared" ca="1" si="1"/>
        <v>University of the Ozarks</v>
      </c>
      <c r="I1894" s="3" t="str">
        <f t="shared" ca="1" si="2"/>
        <v>'University of the Ozarks',</v>
      </c>
    </row>
    <row r="1895" spans="1:9">
      <c r="A1895" s="1" t="s">
        <v>1893</v>
      </c>
      <c r="B1895" s="3" t="str">
        <f ca="1">IFERROR(__xludf.DUMMYFUNCTION("SPLIT(A1895,"","")"),"US")</f>
        <v>US</v>
      </c>
      <c r="C1895" s="3" t="str">
        <f ca="1">IFERROR(__xludf.DUMMYFUNCTION("""COMPUTED_VALUE"""),"University of the Pacific")</f>
        <v>University of the Pacific</v>
      </c>
      <c r="D1895" s="4" t="str">
        <f ca="1">IFERROR(__xludf.DUMMYFUNCTION("""COMPUTED_VALUE"""),"http://www.pacific.edu/")</f>
        <v>http://www.pacific.edu/</v>
      </c>
      <c r="G1895" s="2" t="str">
        <f t="shared" ca="1" si="0"/>
        <v>University of the Pacific</v>
      </c>
      <c r="H1895" s="3" t="str">
        <f t="shared" ca="1" si="1"/>
        <v>University of the Pacific</v>
      </c>
      <c r="I1895" s="3" t="str">
        <f t="shared" ca="1" si="2"/>
        <v>'University of the Pacific',</v>
      </c>
    </row>
    <row r="1896" spans="1:9">
      <c r="A1896" s="1" t="s">
        <v>1894</v>
      </c>
      <c r="B1896" s="3" t="str">
        <f ca="1">IFERROR(__xludf.DUMMYFUNCTION("SPLIT(A1896,"","")"),"US")</f>
        <v>US</v>
      </c>
      <c r="C1896" s="3" t="str">
        <f ca="1">IFERROR(__xludf.DUMMYFUNCTION("""COMPUTED_VALUE"""),"University of the Sciences in Philadelphia")</f>
        <v>University of the Sciences in Philadelphia</v>
      </c>
      <c r="D1896" s="4" t="str">
        <f ca="1">IFERROR(__xludf.DUMMYFUNCTION("""COMPUTED_VALUE"""),"http://www.usip.edu/")</f>
        <v>http://www.usip.edu/</v>
      </c>
      <c r="G1896" s="2" t="str">
        <f t="shared" ca="1" si="0"/>
        <v>University of the Sciences in Philadelphia</v>
      </c>
      <c r="H1896" s="3" t="str">
        <f t="shared" ca="1" si="1"/>
        <v>University of the Sciences in Philadelphia</v>
      </c>
      <c r="I1896" s="3" t="str">
        <f t="shared" ca="1" si="2"/>
        <v>'University of the Sciences in Philadelphia',</v>
      </c>
    </row>
    <row r="1897" spans="1:9">
      <c r="A1897" s="1" t="s">
        <v>1895</v>
      </c>
      <c r="B1897" s="3" t="str">
        <f ca="1">IFERROR(__xludf.DUMMYFUNCTION("SPLIT(A1897,"","")"),"US")</f>
        <v>US</v>
      </c>
      <c r="C1897" s="3" t="str">
        <f ca="1">IFERROR(__xludf.DUMMYFUNCTION("""COMPUTED_VALUE"""),"University of the South")</f>
        <v>University of the South</v>
      </c>
      <c r="D1897" s="4" t="str">
        <f ca="1">IFERROR(__xludf.DUMMYFUNCTION("""COMPUTED_VALUE"""),"http://www.sewanee.edu/")</f>
        <v>http://www.sewanee.edu/</v>
      </c>
      <c r="G1897" s="2" t="str">
        <f t="shared" ca="1" si="0"/>
        <v>University of the South</v>
      </c>
      <c r="H1897" s="3" t="str">
        <f t="shared" ca="1" si="1"/>
        <v>University of the South</v>
      </c>
      <c r="I1897" s="3" t="str">
        <f t="shared" ca="1" si="2"/>
        <v>'University of the South',</v>
      </c>
    </row>
    <row r="1898" spans="1:9">
      <c r="A1898" s="1" t="s">
        <v>1896</v>
      </c>
      <c r="B1898" s="3" t="str">
        <f ca="1">IFERROR(__xludf.DUMMYFUNCTION("SPLIT(A1898,"","")"),"US")</f>
        <v>US</v>
      </c>
      <c r="C1898" s="3" t="str">
        <f ca="1">IFERROR(__xludf.DUMMYFUNCTION("""COMPUTED_VALUE"""),"University of the Southwest")</f>
        <v>University of the Southwest</v>
      </c>
      <c r="D1898" s="4" t="str">
        <f ca="1">IFERROR(__xludf.DUMMYFUNCTION("""COMPUTED_VALUE"""),"http://www.usw.edu/")</f>
        <v>http://www.usw.edu/</v>
      </c>
      <c r="G1898" s="2" t="str">
        <f t="shared" ca="1" si="0"/>
        <v>University of the Southwest</v>
      </c>
      <c r="H1898" s="3" t="str">
        <f t="shared" ca="1" si="1"/>
        <v>University of the Southwest</v>
      </c>
      <c r="I1898" s="3" t="str">
        <f t="shared" ca="1" si="2"/>
        <v>'University of the Southwest',</v>
      </c>
    </row>
    <row r="1899" spans="1:9">
      <c r="A1899" s="1" t="s">
        <v>1897</v>
      </c>
      <c r="B1899" s="3" t="str">
        <f ca="1">IFERROR(__xludf.DUMMYFUNCTION("SPLIT(A1899,"","")"),"US")</f>
        <v>US</v>
      </c>
      <c r="C1899" s="3" t="str">
        <f ca="1">IFERROR(__xludf.DUMMYFUNCTION("""COMPUTED_VALUE"""),"University of Toledo")</f>
        <v>University of Toledo</v>
      </c>
      <c r="D1899" s="4" t="str">
        <f ca="1">IFERROR(__xludf.DUMMYFUNCTION("""COMPUTED_VALUE"""),"http://www.utoledo.edu/")</f>
        <v>http://www.utoledo.edu/</v>
      </c>
      <c r="G1899" s="2" t="str">
        <f t="shared" ca="1" si="0"/>
        <v>University of Toledo</v>
      </c>
      <c r="H1899" s="3" t="str">
        <f t="shared" ca="1" si="1"/>
        <v>University of Toledo</v>
      </c>
      <c r="I1899" s="3" t="str">
        <f t="shared" ca="1" si="2"/>
        <v>'University of Toledo',</v>
      </c>
    </row>
    <row r="1900" spans="1:9">
      <c r="A1900" s="1" t="s">
        <v>1898</v>
      </c>
      <c r="B1900" s="3" t="str">
        <f ca="1">IFERROR(__xludf.DUMMYFUNCTION("SPLIT(A1900,"","")"),"US")</f>
        <v>US</v>
      </c>
      <c r="C1900" s="3" t="str">
        <f ca="1">IFERROR(__xludf.DUMMYFUNCTION("""COMPUTED_VALUE"""),"University of Tulsa")</f>
        <v>University of Tulsa</v>
      </c>
      <c r="D1900" s="4" t="str">
        <f ca="1">IFERROR(__xludf.DUMMYFUNCTION("""COMPUTED_VALUE"""),"http://www.utulsa.edu/")</f>
        <v>http://www.utulsa.edu/</v>
      </c>
      <c r="G1900" s="2" t="str">
        <f t="shared" ca="1" si="0"/>
        <v>University of Tulsa</v>
      </c>
      <c r="H1900" s="3" t="str">
        <f t="shared" ca="1" si="1"/>
        <v>University of Tulsa</v>
      </c>
      <c r="I1900" s="3" t="str">
        <f t="shared" ca="1" si="2"/>
        <v>'University of Tulsa',</v>
      </c>
    </row>
    <row r="1901" spans="1:9">
      <c r="A1901" s="1" t="s">
        <v>1899</v>
      </c>
      <c r="B1901" s="3" t="str">
        <f ca="1">IFERROR(__xludf.DUMMYFUNCTION("SPLIT(A1901,"","")"),"US")</f>
        <v>US</v>
      </c>
      <c r="C1901" s="3" t="str">
        <f ca="1">IFERROR(__xludf.DUMMYFUNCTION("""COMPUTED_VALUE"""),"University of Utah")</f>
        <v>University of Utah</v>
      </c>
      <c r="D1901" s="4" t="str">
        <f ca="1">IFERROR(__xludf.DUMMYFUNCTION("""COMPUTED_VALUE"""),"http://www.utah.edu/")</f>
        <v>http://www.utah.edu/</v>
      </c>
      <c r="G1901" s="2" t="str">
        <f t="shared" ca="1" si="0"/>
        <v>University of Utah</v>
      </c>
      <c r="H1901" s="3" t="str">
        <f t="shared" ca="1" si="1"/>
        <v>University of Utah</v>
      </c>
      <c r="I1901" s="3" t="str">
        <f t="shared" ca="1" si="2"/>
        <v>'University of Utah',</v>
      </c>
    </row>
    <row r="1902" spans="1:9">
      <c r="A1902" s="1" t="s">
        <v>1900</v>
      </c>
      <c r="B1902" s="3" t="str">
        <f ca="1">IFERROR(__xludf.DUMMYFUNCTION("SPLIT(A1902,"","")"),"US")</f>
        <v>US</v>
      </c>
      <c r="C1902" s="3" t="str">
        <f ca="1">IFERROR(__xludf.DUMMYFUNCTION("""COMPUTED_VALUE"""),"University of Vermont")</f>
        <v>University of Vermont</v>
      </c>
      <c r="D1902" s="4" t="str">
        <f ca="1">IFERROR(__xludf.DUMMYFUNCTION("""COMPUTED_VALUE"""),"http://www.uvm.edu/")</f>
        <v>http://www.uvm.edu/</v>
      </c>
      <c r="G1902" s="2" t="str">
        <f t="shared" ca="1" si="0"/>
        <v>University of Vermont</v>
      </c>
      <c r="H1902" s="3" t="str">
        <f t="shared" ca="1" si="1"/>
        <v>University of Vermont</v>
      </c>
      <c r="I1902" s="3" t="str">
        <f t="shared" ca="1" si="2"/>
        <v>'University of Vermont',</v>
      </c>
    </row>
    <row r="1903" spans="1:9">
      <c r="A1903" s="1" t="s">
        <v>1901</v>
      </c>
      <c r="B1903" s="3" t="str">
        <f ca="1">IFERROR(__xludf.DUMMYFUNCTION("SPLIT(A1903,"","")"),"US")</f>
        <v>US</v>
      </c>
      <c r="C1903" s="3" t="str">
        <f ca="1">IFERROR(__xludf.DUMMYFUNCTION("""COMPUTED_VALUE"""),"University of Virginia")</f>
        <v>University of Virginia</v>
      </c>
      <c r="D1903" s="4" t="str">
        <f ca="1">IFERROR(__xludf.DUMMYFUNCTION("""COMPUTED_VALUE"""),"http://www.virginia.edu/")</f>
        <v>http://www.virginia.edu/</v>
      </c>
      <c r="G1903" s="2" t="str">
        <f t="shared" ca="1" si="0"/>
        <v>University of Virginia</v>
      </c>
      <c r="H1903" s="3" t="str">
        <f t="shared" ca="1" si="1"/>
        <v>University of Virginia</v>
      </c>
      <c r="I1903" s="3" t="str">
        <f t="shared" ca="1" si="2"/>
        <v>'University of Virginia',</v>
      </c>
    </row>
    <row r="1904" spans="1:9">
      <c r="A1904" s="1" t="s">
        <v>1902</v>
      </c>
      <c r="B1904" s="3" t="str">
        <f ca="1">IFERROR(__xludf.DUMMYFUNCTION("SPLIT(A1904,"","")"),"US")</f>
        <v>US</v>
      </c>
      <c r="C1904" s="3" t="str">
        <f ca="1">IFERROR(__xludf.DUMMYFUNCTION("""COMPUTED_VALUE"""),"""University of Virginia")</f>
        <v>"University of Virginia</v>
      </c>
      <c r="D1904" s="3" t="str">
        <f ca="1">IFERROR(__xludf.DUMMYFUNCTION("""COMPUTED_VALUE""")," College at Wise""")</f>
        <v xml:space="preserve"> College at Wise"</v>
      </c>
      <c r="E1904" s="4" t="str">
        <f ca="1">IFERROR(__xludf.DUMMYFUNCTION("""COMPUTED_VALUE"""),"http://www.wise.virginia.edu/")</f>
        <v>http://www.wise.virginia.edu/</v>
      </c>
      <c r="G1904" s="2" t="str">
        <f t="shared" ca="1" si="0"/>
        <v>"University of Virginia</v>
      </c>
      <c r="H1904" s="3" t="str">
        <f t="shared" ca="1" si="1"/>
        <v>University of Virginia</v>
      </c>
      <c r="I1904" s="3" t="str">
        <f t="shared" ca="1" si="2"/>
        <v>'University of Virginia',</v>
      </c>
    </row>
    <row r="1905" spans="1:9">
      <c r="A1905" s="1" t="s">
        <v>1903</v>
      </c>
      <c r="B1905" s="3" t="str">
        <f ca="1">IFERROR(__xludf.DUMMYFUNCTION("SPLIT(A1905,"","")"),"US")</f>
        <v>US</v>
      </c>
      <c r="C1905" s="3" t="str">
        <f ca="1">IFERROR(__xludf.DUMMYFUNCTION("""COMPUTED_VALUE"""),"University of Washington")</f>
        <v>University of Washington</v>
      </c>
      <c r="D1905" s="4" t="str">
        <f ca="1">IFERROR(__xludf.DUMMYFUNCTION("""COMPUTED_VALUE"""),"http://www.washington.edu/")</f>
        <v>http://www.washington.edu/</v>
      </c>
      <c r="G1905" s="2" t="str">
        <f t="shared" ca="1" si="0"/>
        <v>University of Washington</v>
      </c>
      <c r="H1905" s="3" t="str">
        <f t="shared" ca="1" si="1"/>
        <v>University of Washington</v>
      </c>
      <c r="I1905" s="3" t="str">
        <f t="shared" ca="1" si="2"/>
        <v>'University of Washington',</v>
      </c>
    </row>
    <row r="1906" spans="1:9">
      <c r="A1906" s="1" t="s">
        <v>1904</v>
      </c>
      <c r="B1906" s="3" t="str">
        <f ca="1">IFERROR(__xludf.DUMMYFUNCTION("SPLIT(A1906,"","")"),"US")</f>
        <v>US</v>
      </c>
      <c r="C1906" s="3" t="str">
        <f ca="1">IFERROR(__xludf.DUMMYFUNCTION("""COMPUTED_VALUE"""),"""University of Washington")</f>
        <v>"University of Washington</v>
      </c>
      <c r="D1906" s="3" t="str">
        <f ca="1">IFERROR(__xludf.DUMMYFUNCTION("""COMPUTED_VALUE""")," Tacoma""")</f>
        <v xml:space="preserve"> Tacoma"</v>
      </c>
      <c r="E1906" s="4" t="str">
        <f ca="1">IFERROR(__xludf.DUMMYFUNCTION("""COMPUTED_VALUE"""),"http://www.tacoma.washington.edu/")</f>
        <v>http://www.tacoma.washington.edu/</v>
      </c>
      <c r="G1906" s="2" t="str">
        <f t="shared" ca="1" si="0"/>
        <v>"University of Washington</v>
      </c>
      <c r="H1906" s="3" t="str">
        <f t="shared" ca="1" si="1"/>
        <v>University of Washington</v>
      </c>
      <c r="I1906" s="3" t="str">
        <f t="shared" ca="1" si="2"/>
        <v>'University of Washington',</v>
      </c>
    </row>
    <row r="1907" spans="1:9">
      <c r="A1907" s="1" t="s">
        <v>1905</v>
      </c>
      <c r="B1907" s="3" t="str">
        <f ca="1">IFERROR(__xludf.DUMMYFUNCTION("SPLIT(A1907,"","")"),"US")</f>
        <v>US</v>
      </c>
      <c r="C1907" s="3" t="str">
        <f ca="1">IFERROR(__xludf.DUMMYFUNCTION("""COMPUTED_VALUE"""),"University of West Alabama")</f>
        <v>University of West Alabama</v>
      </c>
      <c r="D1907" s="4" t="str">
        <f ca="1">IFERROR(__xludf.DUMMYFUNCTION("""COMPUTED_VALUE"""),"http://www.uwa.edu/")</f>
        <v>http://www.uwa.edu/</v>
      </c>
      <c r="G1907" s="2" t="str">
        <f t="shared" ca="1" si="0"/>
        <v>University of West Alabama</v>
      </c>
      <c r="H1907" s="3" t="str">
        <f t="shared" ca="1" si="1"/>
        <v>University of West Alabama</v>
      </c>
      <c r="I1907" s="3" t="str">
        <f t="shared" ca="1" si="2"/>
        <v>'University of West Alabama',</v>
      </c>
    </row>
    <row r="1908" spans="1:9">
      <c r="A1908" s="1" t="s">
        <v>1906</v>
      </c>
      <c r="B1908" s="3" t="str">
        <f ca="1">IFERROR(__xludf.DUMMYFUNCTION("SPLIT(A1908,"","")"),"US")</f>
        <v>US</v>
      </c>
      <c r="C1908" s="3" t="str">
        <f ca="1">IFERROR(__xludf.DUMMYFUNCTION("""COMPUTED_VALUE"""),"University of West Florida")</f>
        <v>University of West Florida</v>
      </c>
      <c r="D1908" s="4" t="str">
        <f ca="1">IFERROR(__xludf.DUMMYFUNCTION("""COMPUTED_VALUE"""),"http://www.uwf.edu/")</f>
        <v>http://www.uwf.edu/</v>
      </c>
      <c r="G1908" s="2" t="str">
        <f t="shared" ca="1" si="0"/>
        <v>University of West Florida</v>
      </c>
      <c r="H1908" s="3" t="str">
        <f t="shared" ca="1" si="1"/>
        <v>University of West Florida</v>
      </c>
      <c r="I1908" s="3" t="str">
        <f t="shared" ca="1" si="2"/>
        <v>'University of West Florida',</v>
      </c>
    </row>
    <row r="1909" spans="1:9">
      <c r="A1909" s="1" t="s">
        <v>1907</v>
      </c>
      <c r="B1909" s="3" t="str">
        <f ca="1">IFERROR(__xludf.DUMMYFUNCTION("SPLIT(A1909,"","")"),"US")</f>
        <v>US</v>
      </c>
      <c r="C1909" s="3" t="str">
        <f ca="1">IFERROR(__xludf.DUMMYFUNCTION("""COMPUTED_VALUE"""),"University of West Los Angeles")</f>
        <v>University of West Los Angeles</v>
      </c>
      <c r="D1909" s="4" t="str">
        <f ca="1">IFERROR(__xludf.DUMMYFUNCTION("""COMPUTED_VALUE"""),"http://www.uwla.edu/")</f>
        <v>http://www.uwla.edu/</v>
      </c>
      <c r="G1909" s="2" t="str">
        <f t="shared" ca="1" si="0"/>
        <v>University of West Los Angeles</v>
      </c>
      <c r="H1909" s="3" t="str">
        <f t="shared" ca="1" si="1"/>
        <v>University of West Los Angeles</v>
      </c>
      <c r="I1909" s="3" t="str">
        <f t="shared" ca="1" si="2"/>
        <v>'University of West Los Angeles',</v>
      </c>
    </row>
    <row r="1910" spans="1:9">
      <c r="A1910" s="1" t="s">
        <v>1908</v>
      </c>
      <c r="B1910" s="3" t="str">
        <f ca="1">IFERROR(__xludf.DUMMYFUNCTION("SPLIT(A1910,"","")"),"US")</f>
        <v>US</v>
      </c>
      <c r="C1910" s="3" t="str">
        <f ca="1">IFERROR(__xludf.DUMMYFUNCTION("""COMPUTED_VALUE"""),"University of Wisconsin - Eau Claire")</f>
        <v>University of Wisconsin - Eau Claire</v>
      </c>
      <c r="D1910" s="4" t="str">
        <f ca="1">IFERROR(__xludf.DUMMYFUNCTION("""COMPUTED_VALUE"""),"http://www.uwec.edu/")</f>
        <v>http://www.uwec.edu/</v>
      </c>
      <c r="G1910" s="2" t="str">
        <f t="shared" ca="1" si="0"/>
        <v>University of Wisconsin - Eau Claire</v>
      </c>
      <c r="H1910" s="3" t="str">
        <f t="shared" ca="1" si="1"/>
        <v>University of Wisconsin - Eau Claire</v>
      </c>
      <c r="I1910" s="3" t="str">
        <f t="shared" ca="1" si="2"/>
        <v>'University of Wisconsin - Eau Claire',</v>
      </c>
    </row>
    <row r="1911" spans="1:9">
      <c r="A1911" s="1" t="s">
        <v>1909</v>
      </c>
      <c r="B1911" s="3" t="str">
        <f ca="1">IFERROR(__xludf.DUMMYFUNCTION("SPLIT(A1911,"","")"),"US")</f>
        <v>US</v>
      </c>
      <c r="C1911" s="3" t="str">
        <f ca="1">IFERROR(__xludf.DUMMYFUNCTION("""COMPUTED_VALUE"""),"University of Wisconsin - Green Bay")</f>
        <v>University of Wisconsin - Green Bay</v>
      </c>
      <c r="D1911" s="4" t="str">
        <f ca="1">IFERROR(__xludf.DUMMYFUNCTION("""COMPUTED_VALUE"""),"http://www.uwgb.edu/")</f>
        <v>http://www.uwgb.edu/</v>
      </c>
      <c r="G1911" s="2" t="str">
        <f t="shared" ca="1" si="0"/>
        <v>University of Wisconsin - Green Bay</v>
      </c>
      <c r="H1911" s="3" t="str">
        <f t="shared" ca="1" si="1"/>
        <v>University of Wisconsin - Green Bay</v>
      </c>
      <c r="I1911" s="3" t="str">
        <f t="shared" ca="1" si="2"/>
        <v>'University of Wisconsin - Green Bay',</v>
      </c>
    </row>
    <row r="1912" spans="1:9">
      <c r="A1912" s="1" t="s">
        <v>1910</v>
      </c>
      <c r="B1912" s="3" t="str">
        <f ca="1">IFERROR(__xludf.DUMMYFUNCTION("SPLIT(A1912,"","")"),"US")</f>
        <v>US</v>
      </c>
      <c r="C1912" s="3" t="str">
        <f ca="1">IFERROR(__xludf.DUMMYFUNCTION("""COMPUTED_VALUE"""),"University of Wisconsin - La Crosse")</f>
        <v>University of Wisconsin - La Crosse</v>
      </c>
      <c r="D1912" s="4" t="str">
        <f ca="1">IFERROR(__xludf.DUMMYFUNCTION("""COMPUTED_VALUE"""),"http://www.uwlax.edu/")</f>
        <v>http://www.uwlax.edu/</v>
      </c>
      <c r="G1912" s="2" t="str">
        <f t="shared" ca="1" si="0"/>
        <v>University of Wisconsin - La Crosse</v>
      </c>
      <c r="H1912" s="3" t="str">
        <f t="shared" ca="1" si="1"/>
        <v>University of Wisconsin - La Crosse</v>
      </c>
      <c r="I1912" s="3" t="str">
        <f t="shared" ca="1" si="2"/>
        <v>'University of Wisconsin - La Crosse',</v>
      </c>
    </row>
    <row r="1913" spans="1:9">
      <c r="A1913" s="1" t="s">
        <v>1911</v>
      </c>
      <c r="B1913" s="3" t="str">
        <f ca="1">IFERROR(__xludf.DUMMYFUNCTION("SPLIT(A1913,"","")"),"US")</f>
        <v>US</v>
      </c>
      <c r="C1913" s="3" t="str">
        <f ca="1">IFERROR(__xludf.DUMMYFUNCTION("""COMPUTED_VALUE"""),"University of Wisconsin - Madison")</f>
        <v>University of Wisconsin - Madison</v>
      </c>
      <c r="D1913" s="4" t="str">
        <f ca="1">IFERROR(__xludf.DUMMYFUNCTION("""COMPUTED_VALUE"""),"http://www.wisc.edu/")</f>
        <v>http://www.wisc.edu/</v>
      </c>
      <c r="G1913" s="2" t="str">
        <f t="shared" ca="1" si="0"/>
        <v>University of Wisconsin - Madison</v>
      </c>
      <c r="H1913" s="3" t="str">
        <f t="shared" ca="1" si="1"/>
        <v>University of Wisconsin - Madison</v>
      </c>
      <c r="I1913" s="3" t="str">
        <f t="shared" ca="1" si="2"/>
        <v>'University of Wisconsin - Madison',</v>
      </c>
    </row>
    <row r="1914" spans="1:9">
      <c r="A1914" s="1" t="s">
        <v>1912</v>
      </c>
      <c r="B1914" s="3" t="str">
        <f ca="1">IFERROR(__xludf.DUMMYFUNCTION("SPLIT(A1914,"","")"),"US")</f>
        <v>US</v>
      </c>
      <c r="C1914" s="3" t="str">
        <f ca="1">IFERROR(__xludf.DUMMYFUNCTION("""COMPUTED_VALUE"""),"University of Wisconsin - Milwaukee")</f>
        <v>University of Wisconsin - Milwaukee</v>
      </c>
      <c r="D1914" s="4" t="str">
        <f ca="1">IFERROR(__xludf.DUMMYFUNCTION("""COMPUTED_VALUE"""),"http://www.uwm.edu/")</f>
        <v>http://www.uwm.edu/</v>
      </c>
      <c r="G1914" s="2" t="str">
        <f t="shared" ca="1" si="0"/>
        <v>University of Wisconsin - Milwaukee</v>
      </c>
      <c r="H1914" s="3" t="str">
        <f t="shared" ca="1" si="1"/>
        <v>University of Wisconsin - Milwaukee</v>
      </c>
      <c r="I1914" s="3" t="str">
        <f t="shared" ca="1" si="2"/>
        <v>'University of Wisconsin - Milwaukee',</v>
      </c>
    </row>
    <row r="1915" spans="1:9">
      <c r="A1915" s="1" t="s">
        <v>1913</v>
      </c>
      <c r="B1915" s="3" t="str">
        <f ca="1">IFERROR(__xludf.DUMMYFUNCTION("SPLIT(A1915,"","")"),"US")</f>
        <v>US</v>
      </c>
      <c r="C1915" s="3" t="str">
        <f ca="1">IFERROR(__xludf.DUMMYFUNCTION("""COMPUTED_VALUE"""),"University of Wisconsin - Oshkosh")</f>
        <v>University of Wisconsin - Oshkosh</v>
      </c>
      <c r="D1915" s="4" t="str">
        <f ca="1">IFERROR(__xludf.DUMMYFUNCTION("""COMPUTED_VALUE"""),"http://www.uwosh.edu/")</f>
        <v>http://www.uwosh.edu/</v>
      </c>
      <c r="G1915" s="2" t="str">
        <f t="shared" ca="1" si="0"/>
        <v>University of Wisconsin - Oshkosh</v>
      </c>
      <c r="H1915" s="3" t="str">
        <f t="shared" ca="1" si="1"/>
        <v>University of Wisconsin - Oshkosh</v>
      </c>
      <c r="I1915" s="3" t="str">
        <f t="shared" ca="1" si="2"/>
        <v>'University of Wisconsin - Oshkosh',</v>
      </c>
    </row>
    <row r="1916" spans="1:9">
      <c r="A1916" s="1" t="s">
        <v>1914</v>
      </c>
      <c r="B1916" s="3" t="str">
        <f ca="1">IFERROR(__xludf.DUMMYFUNCTION("SPLIT(A1916,"","")"),"US")</f>
        <v>US</v>
      </c>
      <c r="C1916" s="3" t="str">
        <f ca="1">IFERROR(__xludf.DUMMYFUNCTION("""COMPUTED_VALUE"""),"University of Wisconsin - Parkside")</f>
        <v>University of Wisconsin - Parkside</v>
      </c>
      <c r="D1916" s="4" t="str">
        <f ca="1">IFERROR(__xludf.DUMMYFUNCTION("""COMPUTED_VALUE"""),"http://www.uwp.edu/")</f>
        <v>http://www.uwp.edu/</v>
      </c>
      <c r="G1916" s="2" t="str">
        <f t="shared" ca="1" si="0"/>
        <v>University of Wisconsin - Parkside</v>
      </c>
      <c r="H1916" s="3" t="str">
        <f t="shared" ca="1" si="1"/>
        <v>University of Wisconsin - Parkside</v>
      </c>
      <c r="I1916" s="3" t="str">
        <f t="shared" ca="1" si="2"/>
        <v>'University of Wisconsin - Parkside',</v>
      </c>
    </row>
    <row r="1917" spans="1:9">
      <c r="A1917" s="1" t="s">
        <v>1915</v>
      </c>
      <c r="B1917" s="3" t="str">
        <f ca="1">IFERROR(__xludf.DUMMYFUNCTION("SPLIT(A1917,"","")"),"US")</f>
        <v>US</v>
      </c>
      <c r="C1917" s="3" t="str">
        <f ca="1">IFERROR(__xludf.DUMMYFUNCTION("""COMPUTED_VALUE"""),"University of Wisconsin - Platteville")</f>
        <v>University of Wisconsin - Platteville</v>
      </c>
      <c r="D1917" s="4" t="str">
        <f ca="1">IFERROR(__xludf.DUMMYFUNCTION("""COMPUTED_VALUE"""),"http://www.uwplatt.edu/")</f>
        <v>http://www.uwplatt.edu/</v>
      </c>
      <c r="G1917" s="2" t="str">
        <f t="shared" ca="1" si="0"/>
        <v>University of Wisconsin - Platteville</v>
      </c>
      <c r="H1917" s="3" t="str">
        <f t="shared" ca="1" si="1"/>
        <v>University of Wisconsin - Platteville</v>
      </c>
      <c r="I1917" s="3" t="str">
        <f t="shared" ca="1" si="2"/>
        <v>'University of Wisconsin - Platteville',</v>
      </c>
    </row>
    <row r="1918" spans="1:9">
      <c r="A1918" s="1" t="s">
        <v>1916</v>
      </c>
      <c r="B1918" s="3" t="str">
        <f ca="1">IFERROR(__xludf.DUMMYFUNCTION("SPLIT(A1918,"","")"),"US")</f>
        <v>US</v>
      </c>
      <c r="C1918" s="3" t="str">
        <f ca="1">IFERROR(__xludf.DUMMYFUNCTION("""COMPUTED_VALUE"""),"University of Wisconsin - River Falls")</f>
        <v>University of Wisconsin - River Falls</v>
      </c>
      <c r="D1918" s="4" t="str">
        <f ca="1">IFERROR(__xludf.DUMMYFUNCTION("""COMPUTED_VALUE"""),"http://www.uwrf.edu/")</f>
        <v>http://www.uwrf.edu/</v>
      </c>
      <c r="G1918" s="2" t="str">
        <f t="shared" ca="1" si="0"/>
        <v>University of Wisconsin - River Falls</v>
      </c>
      <c r="H1918" s="3" t="str">
        <f t="shared" ca="1" si="1"/>
        <v>University of Wisconsin - River Falls</v>
      </c>
      <c r="I1918" s="3" t="str">
        <f t="shared" ca="1" si="2"/>
        <v>'University of Wisconsin - River Falls',</v>
      </c>
    </row>
    <row r="1919" spans="1:9">
      <c r="A1919" s="1" t="s">
        <v>1917</v>
      </c>
      <c r="B1919" s="3" t="str">
        <f ca="1">IFERROR(__xludf.DUMMYFUNCTION("SPLIT(A1919,"","")"),"US")</f>
        <v>US</v>
      </c>
      <c r="C1919" s="3" t="str">
        <f ca="1">IFERROR(__xludf.DUMMYFUNCTION("""COMPUTED_VALUE"""),"University of Wisconsin - Stevens Point")</f>
        <v>University of Wisconsin - Stevens Point</v>
      </c>
      <c r="D1919" s="4" t="str">
        <f ca="1">IFERROR(__xludf.DUMMYFUNCTION("""COMPUTED_VALUE"""),"http://www.uwsp.edu/")</f>
        <v>http://www.uwsp.edu/</v>
      </c>
      <c r="G1919" s="2" t="str">
        <f t="shared" ca="1" si="0"/>
        <v>University of Wisconsin - Stevens Point</v>
      </c>
      <c r="H1919" s="3" t="str">
        <f t="shared" ca="1" si="1"/>
        <v>University of Wisconsin - Stevens Point</v>
      </c>
      <c r="I1919" s="3" t="str">
        <f t="shared" ca="1" si="2"/>
        <v>'University of Wisconsin - Stevens Point',</v>
      </c>
    </row>
    <row r="1920" spans="1:9">
      <c r="A1920" s="1" t="s">
        <v>1918</v>
      </c>
      <c r="B1920" s="3" t="str">
        <f ca="1">IFERROR(__xludf.DUMMYFUNCTION("SPLIT(A1920,"","")"),"US")</f>
        <v>US</v>
      </c>
      <c r="C1920" s="3" t="str">
        <f ca="1">IFERROR(__xludf.DUMMYFUNCTION("""COMPUTED_VALUE"""),"University of Wisconsin - Stout")</f>
        <v>University of Wisconsin - Stout</v>
      </c>
      <c r="D1920" s="4" t="str">
        <f ca="1">IFERROR(__xludf.DUMMYFUNCTION("""COMPUTED_VALUE"""),"http://www.uwstout.edu/")</f>
        <v>http://www.uwstout.edu/</v>
      </c>
      <c r="G1920" s="2" t="str">
        <f t="shared" ca="1" si="0"/>
        <v>University of Wisconsin - Stout</v>
      </c>
      <c r="H1920" s="3" t="str">
        <f t="shared" ca="1" si="1"/>
        <v>University of Wisconsin - Stout</v>
      </c>
      <c r="I1920" s="3" t="str">
        <f t="shared" ca="1" si="2"/>
        <v>'University of Wisconsin - Stout',</v>
      </c>
    </row>
    <row r="1921" spans="1:9">
      <c r="A1921" s="1" t="s">
        <v>1919</v>
      </c>
      <c r="B1921" s="3" t="str">
        <f ca="1">IFERROR(__xludf.DUMMYFUNCTION("SPLIT(A1921,"","")"),"US")</f>
        <v>US</v>
      </c>
      <c r="C1921" s="3" t="str">
        <f ca="1">IFERROR(__xludf.DUMMYFUNCTION("""COMPUTED_VALUE"""),"University of Wisconsin - Superior")</f>
        <v>University of Wisconsin - Superior</v>
      </c>
      <c r="D1921" s="4" t="str">
        <f ca="1">IFERROR(__xludf.DUMMYFUNCTION("""COMPUTED_VALUE"""),"http://www.uwsuper.edu/")</f>
        <v>http://www.uwsuper.edu/</v>
      </c>
      <c r="G1921" s="2" t="str">
        <f t="shared" ca="1" si="0"/>
        <v>University of Wisconsin - Superior</v>
      </c>
      <c r="H1921" s="3" t="str">
        <f t="shared" ca="1" si="1"/>
        <v>University of Wisconsin - Superior</v>
      </c>
      <c r="I1921" s="3" t="str">
        <f t="shared" ca="1" si="2"/>
        <v>'University of Wisconsin - Superior',</v>
      </c>
    </row>
    <row r="1922" spans="1:9">
      <c r="A1922" s="1" t="s">
        <v>1920</v>
      </c>
      <c r="B1922" s="3" t="str">
        <f ca="1">IFERROR(__xludf.DUMMYFUNCTION("SPLIT(A1922,"","")"),"US")</f>
        <v>US</v>
      </c>
      <c r="C1922" s="3" t="str">
        <f ca="1">IFERROR(__xludf.DUMMYFUNCTION("""COMPUTED_VALUE"""),"University of Wisconsin - Whitewater")</f>
        <v>University of Wisconsin - Whitewater</v>
      </c>
      <c r="D1922" s="4" t="str">
        <f ca="1">IFERROR(__xludf.DUMMYFUNCTION("""COMPUTED_VALUE"""),"http://www.uww.edu/")</f>
        <v>http://www.uww.edu/</v>
      </c>
      <c r="G1922" s="2" t="str">
        <f t="shared" ca="1" si="0"/>
        <v>University of Wisconsin - Whitewater</v>
      </c>
      <c r="H1922" s="3" t="str">
        <f t="shared" ca="1" si="1"/>
        <v>University of Wisconsin - Whitewater</v>
      </c>
      <c r="I1922" s="3" t="str">
        <f t="shared" ca="1" si="2"/>
        <v>'University of Wisconsin - Whitewater',</v>
      </c>
    </row>
    <row r="1923" spans="1:9">
      <c r="A1923" s="1" t="s">
        <v>1921</v>
      </c>
      <c r="B1923" s="3" t="str">
        <f ca="1">IFERROR(__xludf.DUMMYFUNCTION("SPLIT(A1923,"","")"),"US")</f>
        <v>US</v>
      </c>
      <c r="C1923" s="3" t="str">
        <f ca="1">IFERROR(__xludf.DUMMYFUNCTION("""COMPUTED_VALUE"""),"University of Wyoming")</f>
        <v>University of Wyoming</v>
      </c>
      <c r="D1923" s="4" t="str">
        <f ca="1">IFERROR(__xludf.DUMMYFUNCTION("""COMPUTED_VALUE"""),"http://www.uwyo.edu/")</f>
        <v>http://www.uwyo.edu/</v>
      </c>
      <c r="G1923" s="2" t="str">
        <f t="shared" ca="1" si="0"/>
        <v>University of Wyoming</v>
      </c>
      <c r="H1923" s="3" t="str">
        <f t="shared" ca="1" si="1"/>
        <v>University of Wyoming</v>
      </c>
      <c r="I1923" s="3" t="str">
        <f t="shared" ca="1" si="2"/>
        <v>'University of Wyoming',</v>
      </c>
    </row>
    <row r="1924" spans="1:9">
      <c r="A1924" s="1" t="s">
        <v>1922</v>
      </c>
      <c r="B1924" s="3" t="str">
        <f ca="1">IFERROR(__xludf.DUMMYFUNCTION("SPLIT(A1924,"","")"),"US")</f>
        <v>US</v>
      </c>
      <c r="C1924" s="3" t="str">
        <f ca="1">IFERROR(__xludf.DUMMYFUNCTION("""COMPUTED_VALUE"""),"Upper Iowa University")</f>
        <v>Upper Iowa University</v>
      </c>
      <c r="D1924" s="4" t="str">
        <f ca="1">IFERROR(__xludf.DUMMYFUNCTION("""COMPUTED_VALUE"""),"http://www.uiu.edu/")</f>
        <v>http://www.uiu.edu/</v>
      </c>
      <c r="G1924" s="2" t="str">
        <f t="shared" ca="1" si="0"/>
        <v>Upper Iowa University</v>
      </c>
      <c r="H1924" s="3" t="str">
        <f t="shared" ca="1" si="1"/>
        <v>Upper Iowa University</v>
      </c>
      <c r="I1924" s="3" t="str">
        <f t="shared" ca="1" si="2"/>
        <v>'Upper Iowa University',</v>
      </c>
    </row>
    <row r="1925" spans="1:9">
      <c r="A1925" s="1" t="s">
        <v>1923</v>
      </c>
      <c r="B1925" s="3" t="str">
        <f ca="1">IFERROR(__xludf.DUMMYFUNCTION("SPLIT(A1925,"","")"),"US")</f>
        <v>US</v>
      </c>
      <c r="C1925" s="3" t="str">
        <f ca="1">IFERROR(__xludf.DUMMYFUNCTION("""COMPUTED_VALUE"""),"Urbana University")</f>
        <v>Urbana University</v>
      </c>
      <c r="D1925" s="4" t="str">
        <f ca="1">IFERROR(__xludf.DUMMYFUNCTION("""COMPUTED_VALUE"""),"http://www.urbana.edu/")</f>
        <v>http://www.urbana.edu/</v>
      </c>
      <c r="G1925" s="2" t="str">
        <f t="shared" ca="1" si="0"/>
        <v>Urbana University</v>
      </c>
      <c r="H1925" s="3" t="str">
        <f t="shared" ca="1" si="1"/>
        <v>Urbana University</v>
      </c>
      <c r="I1925" s="3" t="str">
        <f t="shared" ca="1" si="2"/>
        <v>'Urbana University',</v>
      </c>
    </row>
    <row r="1926" spans="1:9">
      <c r="A1926" s="1" t="s">
        <v>1924</v>
      </c>
      <c r="B1926" s="3" t="str">
        <f ca="1">IFERROR(__xludf.DUMMYFUNCTION("SPLIT(A1926,"","")"),"US")</f>
        <v>US</v>
      </c>
      <c r="C1926" s="3" t="str">
        <f ca="1">IFERROR(__xludf.DUMMYFUNCTION("""COMPUTED_VALUE"""),"Ursinus College")</f>
        <v>Ursinus College</v>
      </c>
      <c r="D1926" s="4" t="str">
        <f ca="1">IFERROR(__xludf.DUMMYFUNCTION("""COMPUTED_VALUE"""),"http://www.ursinus.edu/")</f>
        <v>http://www.ursinus.edu/</v>
      </c>
      <c r="G1926" s="2" t="str">
        <f t="shared" ca="1" si="0"/>
        <v>Ursinus College</v>
      </c>
      <c r="H1926" s="3" t="str">
        <f t="shared" ca="1" si="1"/>
        <v>Ursinus College</v>
      </c>
      <c r="I1926" s="3" t="str">
        <f t="shared" ca="1" si="2"/>
        <v>'Ursinus College',</v>
      </c>
    </row>
    <row r="1927" spans="1:9">
      <c r="A1927" s="1" t="s">
        <v>1925</v>
      </c>
      <c r="B1927" s="3" t="str">
        <f ca="1">IFERROR(__xludf.DUMMYFUNCTION("SPLIT(A1927,"","")"),"US")</f>
        <v>US</v>
      </c>
      <c r="C1927" s="3" t="str">
        <f ca="1">IFERROR(__xludf.DUMMYFUNCTION("""COMPUTED_VALUE"""),"Ursuline College")</f>
        <v>Ursuline College</v>
      </c>
      <c r="D1927" s="4" t="str">
        <f ca="1">IFERROR(__xludf.DUMMYFUNCTION("""COMPUTED_VALUE"""),"http://www.ursuline.edu/")</f>
        <v>http://www.ursuline.edu/</v>
      </c>
      <c r="G1927" s="2" t="str">
        <f t="shared" ca="1" si="0"/>
        <v>Ursuline College</v>
      </c>
      <c r="H1927" s="3" t="str">
        <f t="shared" ca="1" si="1"/>
        <v>Ursuline College</v>
      </c>
      <c r="I1927" s="3" t="str">
        <f t="shared" ca="1" si="2"/>
        <v>'Ursuline College',</v>
      </c>
    </row>
    <row r="1928" spans="1:9">
      <c r="A1928" s="1" t="s">
        <v>1926</v>
      </c>
      <c r="B1928" s="3" t="str">
        <f ca="1">IFERROR(__xludf.DUMMYFUNCTION("SPLIT(A1928,"","")"),"US")</f>
        <v>US</v>
      </c>
      <c r="C1928" s="3" t="str">
        <f ca="1">IFERROR(__xludf.DUMMYFUNCTION("""COMPUTED_VALUE"""),"Utah State University")</f>
        <v>Utah State University</v>
      </c>
      <c r="D1928" s="4" t="str">
        <f ca="1">IFERROR(__xludf.DUMMYFUNCTION("""COMPUTED_VALUE"""),"http://www.usu.edu/")</f>
        <v>http://www.usu.edu/</v>
      </c>
      <c r="G1928" s="2" t="str">
        <f t="shared" ca="1" si="0"/>
        <v>Utah State University</v>
      </c>
      <c r="H1928" s="3" t="str">
        <f t="shared" ca="1" si="1"/>
        <v>Utah State University</v>
      </c>
      <c r="I1928" s="3" t="str">
        <f t="shared" ca="1" si="2"/>
        <v>'Utah State University',</v>
      </c>
    </row>
    <row r="1929" spans="1:9">
      <c r="A1929" s="1" t="s">
        <v>1927</v>
      </c>
      <c r="B1929" s="3" t="str">
        <f ca="1">IFERROR(__xludf.DUMMYFUNCTION("SPLIT(A1929,"","")"),"US")</f>
        <v>US</v>
      </c>
      <c r="C1929" s="3" t="str">
        <f ca="1">IFERROR(__xludf.DUMMYFUNCTION("""COMPUTED_VALUE"""),"Utah Valley State College")</f>
        <v>Utah Valley State College</v>
      </c>
      <c r="D1929" s="4" t="str">
        <f ca="1">IFERROR(__xludf.DUMMYFUNCTION("""COMPUTED_VALUE"""),"http://www.uvsc.edu/")</f>
        <v>http://www.uvsc.edu/</v>
      </c>
      <c r="G1929" s="2" t="str">
        <f t="shared" ca="1" si="0"/>
        <v>Utah Valley State College</v>
      </c>
      <c r="H1929" s="3" t="str">
        <f t="shared" ca="1" si="1"/>
        <v>Utah Valley State College</v>
      </c>
      <c r="I1929" s="3" t="str">
        <f t="shared" ca="1" si="2"/>
        <v>'Utah Valley State College',</v>
      </c>
    </row>
    <row r="1930" spans="1:9">
      <c r="A1930" s="1" t="s">
        <v>1928</v>
      </c>
      <c r="B1930" s="3" t="str">
        <f ca="1">IFERROR(__xludf.DUMMYFUNCTION("SPLIT(A1930,"","")"),"US")</f>
        <v>US</v>
      </c>
      <c r="C1930" s="3" t="str">
        <f ca="1">IFERROR(__xludf.DUMMYFUNCTION("""COMPUTED_VALUE"""),"Utica College")</f>
        <v>Utica College</v>
      </c>
      <c r="D1930" s="4" t="str">
        <f ca="1">IFERROR(__xludf.DUMMYFUNCTION("""COMPUTED_VALUE"""),"http://www.ucsu.edu/")</f>
        <v>http://www.ucsu.edu/</v>
      </c>
      <c r="G1930" s="2" t="str">
        <f t="shared" ca="1" si="0"/>
        <v>Utica College</v>
      </c>
      <c r="H1930" s="3" t="str">
        <f t="shared" ca="1" si="1"/>
        <v>Utica College</v>
      </c>
      <c r="I1930" s="3" t="str">
        <f t="shared" ca="1" si="2"/>
        <v>'Utica College',</v>
      </c>
    </row>
    <row r="1931" spans="1:9">
      <c r="A1931" s="1" t="s">
        <v>1929</v>
      </c>
      <c r="B1931" s="3" t="str">
        <f ca="1">IFERROR(__xludf.DUMMYFUNCTION("SPLIT(A1931,"","")"),"US")</f>
        <v>US</v>
      </c>
      <c r="C1931" s="3" t="str">
        <f ca="1">IFERROR(__xludf.DUMMYFUNCTION("""COMPUTED_VALUE"""),"Valdosta State University")</f>
        <v>Valdosta State University</v>
      </c>
      <c r="D1931" s="4" t="str">
        <f ca="1">IFERROR(__xludf.DUMMYFUNCTION("""COMPUTED_VALUE"""),"http://www.valdosta.edu/")</f>
        <v>http://www.valdosta.edu/</v>
      </c>
      <c r="G1931" s="2" t="str">
        <f t="shared" ca="1" si="0"/>
        <v>Valdosta State University</v>
      </c>
      <c r="H1931" s="3" t="str">
        <f t="shared" ca="1" si="1"/>
        <v>Valdosta State University</v>
      </c>
      <c r="I1931" s="3" t="str">
        <f t="shared" ca="1" si="2"/>
        <v>'Valdosta State University',</v>
      </c>
    </row>
    <row r="1932" spans="1:9">
      <c r="A1932" s="1" t="s">
        <v>1930</v>
      </c>
      <c r="B1932" s="3" t="str">
        <f ca="1">IFERROR(__xludf.DUMMYFUNCTION("SPLIT(A1932,"","")"),"US")</f>
        <v>US</v>
      </c>
      <c r="C1932" s="3" t="str">
        <f ca="1">IFERROR(__xludf.DUMMYFUNCTION("""COMPUTED_VALUE"""),"Valley City State University")</f>
        <v>Valley City State University</v>
      </c>
      <c r="D1932" s="4" t="str">
        <f ca="1">IFERROR(__xludf.DUMMYFUNCTION("""COMPUTED_VALUE"""),"http://www.vcsu.nodak.edu/")</f>
        <v>http://www.vcsu.nodak.edu/</v>
      </c>
      <c r="G1932" s="2" t="str">
        <f t="shared" ca="1" si="0"/>
        <v>Valley City State University</v>
      </c>
      <c r="H1932" s="3" t="str">
        <f t="shared" ca="1" si="1"/>
        <v>Valley City State University</v>
      </c>
      <c r="I1932" s="3" t="str">
        <f t="shared" ca="1" si="2"/>
        <v>'Valley City State University',</v>
      </c>
    </row>
    <row r="1933" spans="1:9">
      <c r="A1933" s="1" t="s">
        <v>1931</v>
      </c>
      <c r="B1933" s="3" t="str">
        <f ca="1">IFERROR(__xludf.DUMMYFUNCTION("SPLIT(A1933,"","")"),"US")</f>
        <v>US</v>
      </c>
      <c r="C1933" s="3" t="str">
        <f ca="1">IFERROR(__xludf.DUMMYFUNCTION("""COMPUTED_VALUE"""),"Valley Forge Christian College")</f>
        <v>Valley Forge Christian College</v>
      </c>
      <c r="D1933" s="4" t="str">
        <f ca="1">IFERROR(__xludf.DUMMYFUNCTION("""COMPUTED_VALUE"""),"http://www.vfcc.edu/")</f>
        <v>http://www.vfcc.edu/</v>
      </c>
      <c r="G1933" s="2" t="str">
        <f t="shared" ca="1" si="0"/>
        <v>Valley Forge Christian College</v>
      </c>
      <c r="H1933" s="3" t="str">
        <f t="shared" ca="1" si="1"/>
        <v>Valley Forge Christian College</v>
      </c>
      <c r="I1933" s="3" t="str">
        <f t="shared" ca="1" si="2"/>
        <v>'Valley Forge Christian College',</v>
      </c>
    </row>
    <row r="1934" spans="1:9">
      <c r="A1934" s="1" t="s">
        <v>1932</v>
      </c>
      <c r="B1934" s="3" t="str">
        <f ca="1">IFERROR(__xludf.DUMMYFUNCTION("SPLIT(A1934,"","")"),"US")</f>
        <v>US</v>
      </c>
      <c r="C1934" s="3" t="str">
        <f ca="1">IFERROR(__xludf.DUMMYFUNCTION("""COMPUTED_VALUE"""),"Valparaiso University")</f>
        <v>Valparaiso University</v>
      </c>
      <c r="D1934" s="4" t="str">
        <f ca="1">IFERROR(__xludf.DUMMYFUNCTION("""COMPUTED_VALUE"""),"http://www.valpo.edu/")</f>
        <v>http://www.valpo.edu/</v>
      </c>
      <c r="G1934" s="2" t="str">
        <f t="shared" ca="1" si="0"/>
        <v>Valparaiso University</v>
      </c>
      <c r="H1934" s="3" t="str">
        <f t="shared" ca="1" si="1"/>
        <v>Valparaiso University</v>
      </c>
      <c r="I1934" s="3" t="str">
        <f t="shared" ca="1" si="2"/>
        <v>'Valparaiso University',</v>
      </c>
    </row>
    <row r="1935" spans="1:9">
      <c r="A1935" s="1" t="s">
        <v>1933</v>
      </c>
      <c r="B1935" s="3" t="str">
        <f ca="1">IFERROR(__xludf.DUMMYFUNCTION("SPLIT(A1935,"","")"),"US")</f>
        <v>US</v>
      </c>
      <c r="C1935" s="3" t="str">
        <f ca="1">IFERROR(__xludf.DUMMYFUNCTION("""COMPUTED_VALUE"""),"Vanderbilt University")</f>
        <v>Vanderbilt University</v>
      </c>
      <c r="D1935" s="4" t="str">
        <f ca="1">IFERROR(__xludf.DUMMYFUNCTION("""COMPUTED_VALUE"""),"http://www.vanderbilt.edu/")</f>
        <v>http://www.vanderbilt.edu/</v>
      </c>
      <c r="G1935" s="2" t="str">
        <f t="shared" ca="1" si="0"/>
        <v>Vanderbilt University</v>
      </c>
      <c r="H1935" s="3" t="str">
        <f t="shared" ca="1" si="1"/>
        <v>Vanderbilt University</v>
      </c>
      <c r="I1935" s="3" t="str">
        <f t="shared" ca="1" si="2"/>
        <v>'Vanderbilt University',</v>
      </c>
    </row>
    <row r="1936" spans="1:9">
      <c r="A1936" s="1" t="s">
        <v>1934</v>
      </c>
      <c r="B1936" s="3" t="str">
        <f ca="1">IFERROR(__xludf.DUMMYFUNCTION("SPLIT(A1936,"","")"),"US")</f>
        <v>US</v>
      </c>
      <c r="C1936" s="3" t="str">
        <f ca="1">IFERROR(__xludf.DUMMYFUNCTION("""COMPUTED_VALUE"""),"VanderCook College of Music")</f>
        <v>VanderCook College of Music</v>
      </c>
      <c r="D1936" s="4" t="str">
        <f ca="1">IFERROR(__xludf.DUMMYFUNCTION("""COMPUTED_VALUE"""),"http://www.vandercook.edu/")</f>
        <v>http://www.vandercook.edu/</v>
      </c>
      <c r="G1936" s="2" t="str">
        <f t="shared" ca="1" si="0"/>
        <v>VanderCook College of Music</v>
      </c>
      <c r="H1936" s="3" t="str">
        <f t="shared" ca="1" si="1"/>
        <v>VanderCook College of Music</v>
      </c>
      <c r="I1936" s="3" t="str">
        <f t="shared" ca="1" si="2"/>
        <v>'VanderCook College of Music',</v>
      </c>
    </row>
    <row r="1937" spans="1:9">
      <c r="A1937" s="1" t="s">
        <v>1935</v>
      </c>
      <c r="B1937" s="3" t="str">
        <f ca="1">IFERROR(__xludf.DUMMYFUNCTION("SPLIT(A1937,"","")"),"US")</f>
        <v>US</v>
      </c>
      <c r="C1937" s="3" t="str">
        <f ca="1">IFERROR(__xludf.DUMMYFUNCTION("""COMPUTED_VALUE"""),"Vanguard University of Southern California")</f>
        <v>Vanguard University of Southern California</v>
      </c>
      <c r="D1937" s="4" t="str">
        <f ca="1">IFERROR(__xludf.DUMMYFUNCTION("""COMPUTED_VALUE"""),"http://www.vanguard.edu/")</f>
        <v>http://www.vanguard.edu/</v>
      </c>
      <c r="G1937" s="2" t="str">
        <f t="shared" ca="1" si="0"/>
        <v>Vanguard University of Southern California</v>
      </c>
      <c r="H1937" s="3" t="str">
        <f t="shared" ca="1" si="1"/>
        <v>Vanguard University of Southern California</v>
      </c>
      <c r="I1937" s="3" t="str">
        <f t="shared" ca="1" si="2"/>
        <v>'Vanguard University of Southern California',</v>
      </c>
    </row>
    <row r="1938" spans="1:9">
      <c r="A1938" s="1" t="s">
        <v>1936</v>
      </c>
      <c r="B1938" s="3" t="str">
        <f ca="1">IFERROR(__xludf.DUMMYFUNCTION("SPLIT(A1938,"","")"),"US")</f>
        <v>US</v>
      </c>
      <c r="C1938" s="3" t="str">
        <f ca="1">IFERROR(__xludf.DUMMYFUNCTION("""COMPUTED_VALUE"""),"Vassar College")</f>
        <v>Vassar College</v>
      </c>
      <c r="D1938" s="4" t="str">
        <f ca="1">IFERROR(__xludf.DUMMYFUNCTION("""COMPUTED_VALUE"""),"http://www.vassar.edu/")</f>
        <v>http://www.vassar.edu/</v>
      </c>
      <c r="G1938" s="2" t="str">
        <f t="shared" ca="1" si="0"/>
        <v>Vassar College</v>
      </c>
      <c r="H1938" s="3" t="str">
        <f t="shared" ca="1" si="1"/>
        <v>Vassar College</v>
      </c>
      <c r="I1938" s="3" t="str">
        <f t="shared" ca="1" si="2"/>
        <v>'Vassar College',</v>
      </c>
    </row>
    <row r="1939" spans="1:9">
      <c r="A1939" s="1" t="s">
        <v>1937</v>
      </c>
      <c r="B1939" s="3" t="str">
        <f ca="1">IFERROR(__xludf.DUMMYFUNCTION("SPLIT(A1939,"","")"),"US")</f>
        <v>US</v>
      </c>
      <c r="C1939" s="3" t="str">
        <f ca="1">IFERROR(__xludf.DUMMYFUNCTION("""COMPUTED_VALUE"""),"Vennard College")</f>
        <v>Vennard College</v>
      </c>
      <c r="D1939" s="4" t="str">
        <f ca="1">IFERROR(__xludf.DUMMYFUNCTION("""COMPUTED_VALUE"""),"http://www.vennard.edu/")</f>
        <v>http://www.vennard.edu/</v>
      </c>
      <c r="G1939" s="2" t="str">
        <f t="shared" ca="1" si="0"/>
        <v>Vennard College</v>
      </c>
      <c r="H1939" s="3" t="str">
        <f t="shared" ca="1" si="1"/>
        <v>Vennard College</v>
      </c>
      <c r="I1939" s="3" t="str">
        <f t="shared" ca="1" si="2"/>
        <v>'Vennard College',</v>
      </c>
    </row>
    <row r="1940" spans="1:9">
      <c r="A1940" s="1" t="s">
        <v>1938</v>
      </c>
      <c r="B1940" s="3" t="str">
        <f ca="1">IFERROR(__xludf.DUMMYFUNCTION("SPLIT(A1940,"","")"),"US")</f>
        <v>US</v>
      </c>
      <c r="C1940" s="3" t="str">
        <f ca="1">IFERROR(__xludf.DUMMYFUNCTION("""COMPUTED_VALUE"""),"Vermont Law School")</f>
        <v>Vermont Law School</v>
      </c>
      <c r="D1940" s="4" t="str">
        <f ca="1">IFERROR(__xludf.DUMMYFUNCTION("""COMPUTED_VALUE"""),"http://www.vermontlaw.edu/")</f>
        <v>http://www.vermontlaw.edu/</v>
      </c>
      <c r="G1940" s="2" t="str">
        <f t="shared" ca="1" si="0"/>
        <v>Vermont Law School</v>
      </c>
      <c r="H1940" s="3" t="str">
        <f t="shared" ca="1" si="1"/>
        <v>Vermont Law School</v>
      </c>
      <c r="I1940" s="3" t="str">
        <f t="shared" ca="1" si="2"/>
        <v>'Vermont Law School',</v>
      </c>
    </row>
    <row r="1941" spans="1:9">
      <c r="A1941" s="1" t="s">
        <v>1939</v>
      </c>
      <c r="B1941" s="3" t="str">
        <f ca="1">IFERROR(__xludf.DUMMYFUNCTION("SPLIT(A1941,"","")"),"US")</f>
        <v>US</v>
      </c>
      <c r="C1941" s="3" t="str">
        <f ca="1">IFERROR(__xludf.DUMMYFUNCTION("""COMPUTED_VALUE"""),"Vermont Technical College")</f>
        <v>Vermont Technical College</v>
      </c>
      <c r="D1941" s="4" t="str">
        <f ca="1">IFERROR(__xludf.DUMMYFUNCTION("""COMPUTED_VALUE"""),"http://www.vtc.vsc.edu/")</f>
        <v>http://www.vtc.vsc.edu/</v>
      </c>
      <c r="G1941" s="2" t="str">
        <f t="shared" ca="1" si="0"/>
        <v>Vermont Technical College</v>
      </c>
      <c r="H1941" s="3" t="str">
        <f t="shared" ca="1" si="1"/>
        <v>Vermont Technical College</v>
      </c>
      <c r="I1941" s="3" t="str">
        <f t="shared" ca="1" si="2"/>
        <v>'Vermont Technical College',</v>
      </c>
    </row>
    <row r="1942" spans="1:9">
      <c r="A1942" s="1" t="s">
        <v>1940</v>
      </c>
      <c r="B1942" s="3" t="str">
        <f ca="1">IFERROR(__xludf.DUMMYFUNCTION("SPLIT(A1942,"","")"),"US")</f>
        <v>US</v>
      </c>
      <c r="C1942" s="3" t="str">
        <f ca="1">IFERROR(__xludf.DUMMYFUNCTION("""COMPUTED_VALUE"""),"Villa Julie College")</f>
        <v>Villa Julie College</v>
      </c>
      <c r="D1942" s="4" t="str">
        <f ca="1">IFERROR(__xludf.DUMMYFUNCTION("""COMPUTED_VALUE"""),"http://www.vjc.edu/")</f>
        <v>http://www.vjc.edu/</v>
      </c>
      <c r="G1942" s="2" t="str">
        <f t="shared" ca="1" si="0"/>
        <v>Villa Julie College</v>
      </c>
      <c r="H1942" s="3" t="str">
        <f t="shared" ca="1" si="1"/>
        <v>Villa Julie College</v>
      </c>
      <c r="I1942" s="3" t="str">
        <f t="shared" ca="1" si="2"/>
        <v>'Villa Julie College',</v>
      </c>
    </row>
    <row r="1943" spans="1:9">
      <c r="A1943" s="1" t="s">
        <v>1941</v>
      </c>
      <c r="B1943" s="3" t="str">
        <f ca="1">IFERROR(__xludf.DUMMYFUNCTION("SPLIT(A1943,"","")"),"US")</f>
        <v>US</v>
      </c>
      <c r="C1943" s="3" t="str">
        <f ca="1">IFERROR(__xludf.DUMMYFUNCTION("""COMPUTED_VALUE"""),"Villanova University")</f>
        <v>Villanova University</v>
      </c>
      <c r="D1943" s="4" t="str">
        <f ca="1">IFERROR(__xludf.DUMMYFUNCTION("""COMPUTED_VALUE"""),"http://www.villanova.edu/")</f>
        <v>http://www.villanova.edu/</v>
      </c>
      <c r="G1943" s="2" t="str">
        <f t="shared" ca="1" si="0"/>
        <v>Villanova University</v>
      </c>
      <c r="H1943" s="3" t="str">
        <f t="shared" ca="1" si="1"/>
        <v>Villanova University</v>
      </c>
      <c r="I1943" s="3" t="str">
        <f t="shared" ca="1" si="2"/>
        <v>'Villanova University',</v>
      </c>
    </row>
    <row r="1944" spans="1:9">
      <c r="A1944" s="1" t="s">
        <v>1942</v>
      </c>
      <c r="B1944" s="3" t="str">
        <f ca="1">IFERROR(__xludf.DUMMYFUNCTION("SPLIT(A1944,"","")"),"US")</f>
        <v>US</v>
      </c>
      <c r="C1944" s="3" t="str">
        <f ca="1">IFERROR(__xludf.DUMMYFUNCTION("""COMPUTED_VALUE"""),"Virginia College")</f>
        <v>Virginia College</v>
      </c>
      <c r="D1944" s="4" t="str">
        <f ca="1">IFERROR(__xludf.DUMMYFUNCTION("""COMPUTED_VALUE"""),"http://www.vc.edu/")</f>
        <v>http://www.vc.edu/</v>
      </c>
      <c r="G1944" s="2" t="str">
        <f t="shared" ca="1" si="0"/>
        <v>Virginia College</v>
      </c>
      <c r="H1944" s="3" t="str">
        <f t="shared" ca="1" si="1"/>
        <v>Virginia College</v>
      </c>
      <c r="I1944" s="3" t="str">
        <f t="shared" ca="1" si="2"/>
        <v>'Virginia College',</v>
      </c>
    </row>
    <row r="1945" spans="1:9">
      <c r="A1945" s="1" t="s">
        <v>1943</v>
      </c>
      <c r="B1945" s="3" t="str">
        <f ca="1">IFERROR(__xludf.DUMMYFUNCTION("SPLIT(A1945,"","")"),"US")</f>
        <v>US</v>
      </c>
      <c r="C1945" s="3" t="str">
        <f ca="1">IFERROR(__xludf.DUMMYFUNCTION("""COMPUTED_VALUE"""),"Virginia Commonwealth University")</f>
        <v>Virginia Commonwealth University</v>
      </c>
      <c r="D1945" s="4" t="str">
        <f ca="1">IFERROR(__xludf.DUMMYFUNCTION("""COMPUTED_VALUE"""),"http://www.vcu.edu/")</f>
        <v>http://www.vcu.edu/</v>
      </c>
      <c r="G1945" s="2" t="str">
        <f t="shared" ca="1" si="0"/>
        <v>Virginia Commonwealth University</v>
      </c>
      <c r="H1945" s="3" t="str">
        <f t="shared" ca="1" si="1"/>
        <v>Virginia Commonwealth University</v>
      </c>
      <c r="I1945" s="3" t="str">
        <f t="shared" ca="1" si="2"/>
        <v>'Virginia Commonwealth University',</v>
      </c>
    </row>
    <row r="1946" spans="1:9">
      <c r="A1946" s="1" t="s">
        <v>1944</v>
      </c>
      <c r="B1946" s="3" t="str">
        <f ca="1">IFERROR(__xludf.DUMMYFUNCTION("SPLIT(A1946,"","")"),"US")</f>
        <v>US</v>
      </c>
      <c r="C1946" s="3" t="str">
        <f ca="1">IFERROR(__xludf.DUMMYFUNCTION("""COMPUTED_VALUE"""),"Virginia Intermont College")</f>
        <v>Virginia Intermont College</v>
      </c>
      <c r="D1946" s="4" t="str">
        <f ca="1">IFERROR(__xludf.DUMMYFUNCTION("""COMPUTED_VALUE"""),"http://www.vic.edu/")</f>
        <v>http://www.vic.edu/</v>
      </c>
      <c r="G1946" s="2" t="str">
        <f t="shared" ca="1" si="0"/>
        <v>Virginia Intermont College</v>
      </c>
      <c r="H1946" s="3" t="str">
        <f t="shared" ca="1" si="1"/>
        <v>Virginia Intermont College</v>
      </c>
      <c r="I1946" s="3" t="str">
        <f t="shared" ca="1" si="2"/>
        <v>'Virginia Intermont College',</v>
      </c>
    </row>
    <row r="1947" spans="1:9">
      <c r="A1947" s="1" t="s">
        <v>1945</v>
      </c>
      <c r="B1947" s="3" t="str">
        <f ca="1">IFERROR(__xludf.DUMMYFUNCTION("SPLIT(A1947,"","")"),"US")</f>
        <v>US</v>
      </c>
      <c r="C1947" s="3" t="str">
        <f ca="1">IFERROR(__xludf.DUMMYFUNCTION("""COMPUTED_VALUE"""),"Virginia International University")</f>
        <v>Virginia International University</v>
      </c>
      <c r="D1947" s="4" t="str">
        <f ca="1">IFERROR(__xludf.DUMMYFUNCTION("""COMPUTED_VALUE"""),"http://www.viu.edu/")</f>
        <v>http://www.viu.edu/</v>
      </c>
      <c r="G1947" s="2" t="str">
        <f t="shared" ca="1" si="0"/>
        <v>Virginia International University</v>
      </c>
      <c r="H1947" s="3" t="str">
        <f t="shared" ca="1" si="1"/>
        <v>Virginia International University</v>
      </c>
      <c r="I1947" s="3" t="str">
        <f t="shared" ca="1" si="2"/>
        <v>'Virginia International University',</v>
      </c>
    </row>
    <row r="1948" spans="1:9">
      <c r="A1948" s="1" t="s">
        <v>1946</v>
      </c>
      <c r="B1948" s="3" t="str">
        <f ca="1">IFERROR(__xludf.DUMMYFUNCTION("SPLIT(A1948,"","")"),"US")</f>
        <v>US</v>
      </c>
      <c r="C1948" s="3" t="str">
        <f ca="1">IFERROR(__xludf.DUMMYFUNCTION("""COMPUTED_VALUE"""),"Virginia Military Institute")</f>
        <v>Virginia Military Institute</v>
      </c>
      <c r="D1948" s="4" t="str">
        <f ca="1">IFERROR(__xludf.DUMMYFUNCTION("""COMPUTED_VALUE"""),"http://www.vmi.edu/")</f>
        <v>http://www.vmi.edu/</v>
      </c>
      <c r="G1948" s="2" t="str">
        <f t="shared" ca="1" si="0"/>
        <v>Virginia Military Institute</v>
      </c>
      <c r="H1948" s="3" t="str">
        <f t="shared" ca="1" si="1"/>
        <v>Virginia Military Institute</v>
      </c>
      <c r="I1948" s="3" t="str">
        <f t="shared" ca="1" si="2"/>
        <v>'Virginia Military Institute',</v>
      </c>
    </row>
    <row r="1949" spans="1:9">
      <c r="A1949" s="1" t="s">
        <v>1947</v>
      </c>
      <c r="B1949" s="3" t="str">
        <f ca="1">IFERROR(__xludf.DUMMYFUNCTION("SPLIT(A1949,"","")"),"US")</f>
        <v>US</v>
      </c>
      <c r="C1949" s="3" t="str">
        <f ca="1">IFERROR(__xludf.DUMMYFUNCTION("""COMPUTED_VALUE"""),"Virginia Polytechnic Institute and State University (Virginia Tech)")</f>
        <v>Virginia Polytechnic Institute and State University (Virginia Tech)</v>
      </c>
      <c r="D1949" s="4" t="str">
        <f ca="1">IFERROR(__xludf.DUMMYFUNCTION("""COMPUTED_VALUE"""),"http://www.vt.edu/")</f>
        <v>http://www.vt.edu/</v>
      </c>
      <c r="G1949" s="2" t="str">
        <f t="shared" ca="1" si="0"/>
        <v>Virginia Polytechnic Institute and State University (Virginia Tech)</v>
      </c>
      <c r="H1949" s="3" t="str">
        <f t="shared" ca="1" si="1"/>
        <v>Virginia Polytechnic Institute and State University (Virginia Tech)</v>
      </c>
      <c r="I1949" s="3" t="str">
        <f t="shared" ca="1" si="2"/>
        <v>'Virginia Polytechnic Institute and State University (Virginia Tech)',</v>
      </c>
    </row>
    <row r="1950" spans="1:9">
      <c r="A1950" s="1" t="s">
        <v>1948</v>
      </c>
      <c r="B1950" s="3" t="str">
        <f ca="1">IFERROR(__xludf.DUMMYFUNCTION("SPLIT(A1950,"","")"),"US")</f>
        <v>US</v>
      </c>
      <c r="C1950" s="3" t="str">
        <f ca="1">IFERROR(__xludf.DUMMYFUNCTION("""COMPUTED_VALUE"""),"Virginia State University")</f>
        <v>Virginia State University</v>
      </c>
      <c r="D1950" s="4" t="str">
        <f ca="1">IFERROR(__xludf.DUMMYFUNCTION("""COMPUTED_VALUE"""),"http://www.vsu.edu/")</f>
        <v>http://www.vsu.edu/</v>
      </c>
      <c r="G1950" s="2" t="str">
        <f t="shared" ca="1" si="0"/>
        <v>Virginia State University</v>
      </c>
      <c r="H1950" s="3" t="str">
        <f t="shared" ca="1" si="1"/>
        <v>Virginia State University</v>
      </c>
      <c r="I1950" s="3" t="str">
        <f t="shared" ca="1" si="2"/>
        <v>'Virginia State University',</v>
      </c>
    </row>
    <row r="1951" spans="1:9">
      <c r="A1951" s="1" t="s">
        <v>1949</v>
      </c>
      <c r="B1951" s="3" t="str">
        <f ca="1">IFERROR(__xludf.DUMMYFUNCTION("SPLIT(A1951,"","")"),"US")</f>
        <v>US</v>
      </c>
      <c r="C1951" s="3" t="str">
        <f ca="1">IFERROR(__xludf.DUMMYFUNCTION("""COMPUTED_VALUE"""),"Virginia Union University")</f>
        <v>Virginia Union University</v>
      </c>
      <c r="D1951" s="4" t="str">
        <f ca="1">IFERROR(__xludf.DUMMYFUNCTION("""COMPUTED_VALUE"""),"http://www.vuu.edu/")</f>
        <v>http://www.vuu.edu/</v>
      </c>
      <c r="G1951" s="2" t="str">
        <f t="shared" ca="1" si="0"/>
        <v>Virginia Union University</v>
      </c>
      <c r="H1951" s="3" t="str">
        <f t="shared" ca="1" si="1"/>
        <v>Virginia Union University</v>
      </c>
      <c r="I1951" s="3" t="str">
        <f t="shared" ca="1" si="2"/>
        <v>'Virginia Union University',</v>
      </c>
    </row>
    <row r="1952" spans="1:9">
      <c r="A1952" s="1" t="s">
        <v>1950</v>
      </c>
      <c r="B1952" s="3" t="str">
        <f ca="1">IFERROR(__xludf.DUMMYFUNCTION("SPLIT(A1952,"","")"),"US")</f>
        <v>US</v>
      </c>
      <c r="C1952" s="3" t="str">
        <f ca="1">IFERROR(__xludf.DUMMYFUNCTION("""COMPUTED_VALUE"""),"Virginia Wesleyan College")</f>
        <v>Virginia Wesleyan College</v>
      </c>
      <c r="D1952" s="4" t="str">
        <f ca="1">IFERROR(__xludf.DUMMYFUNCTION("""COMPUTED_VALUE"""),"http://www.vwc.edu/")</f>
        <v>http://www.vwc.edu/</v>
      </c>
      <c r="G1952" s="2" t="str">
        <f t="shared" ca="1" si="0"/>
        <v>Virginia Wesleyan College</v>
      </c>
      <c r="H1952" s="3" t="str">
        <f t="shared" ca="1" si="1"/>
        <v>Virginia Wesleyan College</v>
      </c>
      <c r="I1952" s="3" t="str">
        <f t="shared" ca="1" si="2"/>
        <v>'Virginia Wesleyan College',</v>
      </c>
    </row>
    <row r="1953" spans="1:9">
      <c r="A1953" s="1" t="s">
        <v>1951</v>
      </c>
      <c r="B1953" s="3" t="str">
        <f ca="1">IFERROR(__xludf.DUMMYFUNCTION("SPLIT(A1953,"","")"),"US")</f>
        <v>US</v>
      </c>
      <c r="C1953" s="3" t="str">
        <f ca="1">IFERROR(__xludf.DUMMYFUNCTION("""COMPUTED_VALUE"""),"Viterbo College")</f>
        <v>Viterbo College</v>
      </c>
      <c r="D1953" s="4" t="str">
        <f ca="1">IFERROR(__xludf.DUMMYFUNCTION("""COMPUTED_VALUE"""),"http://www.viterbo.edu/")</f>
        <v>http://www.viterbo.edu/</v>
      </c>
      <c r="G1953" s="2" t="str">
        <f t="shared" ca="1" si="0"/>
        <v>Viterbo College</v>
      </c>
      <c r="H1953" s="3" t="str">
        <f t="shared" ca="1" si="1"/>
        <v>Viterbo College</v>
      </c>
      <c r="I1953" s="3" t="str">
        <f t="shared" ca="1" si="2"/>
        <v>'Viterbo College',</v>
      </c>
    </row>
    <row r="1954" spans="1:9">
      <c r="A1954" s="1" t="s">
        <v>1952</v>
      </c>
      <c r="B1954" s="3" t="str">
        <f ca="1">IFERROR(__xludf.DUMMYFUNCTION("SPLIT(A1954,"","")"),"US")</f>
        <v>US</v>
      </c>
      <c r="C1954" s="3" t="str">
        <f ca="1">IFERROR(__xludf.DUMMYFUNCTION("""COMPUTED_VALUE"""),"Voorhees College")</f>
        <v>Voorhees College</v>
      </c>
      <c r="D1954" s="4" t="str">
        <f ca="1">IFERROR(__xludf.DUMMYFUNCTION("""COMPUTED_VALUE"""),"http://www.voorhees.edu/")</f>
        <v>http://www.voorhees.edu/</v>
      </c>
      <c r="G1954" s="2" t="str">
        <f t="shared" ca="1" si="0"/>
        <v>Voorhees College</v>
      </c>
      <c r="H1954" s="3" t="str">
        <f t="shared" ca="1" si="1"/>
        <v>Voorhees College</v>
      </c>
      <c r="I1954" s="3" t="str">
        <f t="shared" ca="1" si="2"/>
        <v>'Voorhees College',</v>
      </c>
    </row>
    <row r="1955" spans="1:9">
      <c r="A1955" s="1" t="s">
        <v>1953</v>
      </c>
      <c r="B1955" s="3" t="str">
        <f ca="1">IFERROR(__xludf.DUMMYFUNCTION("SPLIT(A1955,"","")"),"US")</f>
        <v>US</v>
      </c>
      <c r="C1955" s="3" t="str">
        <f ca="1">IFERROR(__xludf.DUMMYFUNCTION("""COMPUTED_VALUE"""),"Wabash College")</f>
        <v>Wabash College</v>
      </c>
      <c r="D1955" s="4" t="str">
        <f ca="1">IFERROR(__xludf.DUMMYFUNCTION("""COMPUTED_VALUE"""),"http://www.wabash.edu/")</f>
        <v>http://www.wabash.edu/</v>
      </c>
      <c r="G1955" s="2" t="str">
        <f t="shared" ca="1" si="0"/>
        <v>Wabash College</v>
      </c>
      <c r="H1955" s="3" t="str">
        <f t="shared" ca="1" si="1"/>
        <v>Wabash College</v>
      </c>
      <c r="I1955" s="3" t="str">
        <f t="shared" ca="1" si="2"/>
        <v>'Wabash College',</v>
      </c>
    </row>
    <row r="1956" spans="1:9">
      <c r="A1956" s="1" t="s">
        <v>1954</v>
      </c>
      <c r="B1956" s="3" t="str">
        <f ca="1">IFERROR(__xludf.DUMMYFUNCTION("SPLIT(A1956,"","")"),"US")</f>
        <v>US</v>
      </c>
      <c r="C1956" s="3" t="str">
        <f ca="1">IFERROR(__xludf.DUMMYFUNCTION("""COMPUTED_VALUE"""),"Wagner College")</f>
        <v>Wagner College</v>
      </c>
      <c r="D1956" s="4" t="str">
        <f ca="1">IFERROR(__xludf.DUMMYFUNCTION("""COMPUTED_VALUE"""),"http://www.wagner.edu/")</f>
        <v>http://www.wagner.edu/</v>
      </c>
      <c r="G1956" s="2" t="str">
        <f t="shared" ca="1" si="0"/>
        <v>Wagner College</v>
      </c>
      <c r="H1956" s="3" t="str">
        <f t="shared" ca="1" si="1"/>
        <v>Wagner College</v>
      </c>
      <c r="I1956" s="3" t="str">
        <f t="shared" ca="1" si="2"/>
        <v>'Wagner College',</v>
      </c>
    </row>
    <row r="1957" spans="1:9">
      <c r="A1957" s="1" t="s">
        <v>1955</v>
      </c>
      <c r="B1957" s="3" t="str">
        <f ca="1">IFERROR(__xludf.DUMMYFUNCTION("SPLIT(A1957,"","")"),"US")</f>
        <v>US</v>
      </c>
      <c r="C1957" s="3" t="str">
        <f ca="1">IFERROR(__xludf.DUMMYFUNCTION("""COMPUTED_VALUE"""),"Wake Forest University")</f>
        <v>Wake Forest University</v>
      </c>
      <c r="D1957" s="4" t="str">
        <f ca="1">IFERROR(__xludf.DUMMYFUNCTION("""COMPUTED_VALUE"""),"http://www.wfu.edu/")</f>
        <v>http://www.wfu.edu/</v>
      </c>
      <c r="G1957" s="2" t="str">
        <f t="shared" ca="1" si="0"/>
        <v>Wake Forest University</v>
      </c>
      <c r="H1957" s="3" t="str">
        <f t="shared" ca="1" si="1"/>
        <v>Wake Forest University</v>
      </c>
      <c r="I1957" s="3" t="str">
        <f t="shared" ca="1" si="2"/>
        <v>'Wake Forest University',</v>
      </c>
    </row>
    <row r="1958" spans="1:9">
      <c r="A1958" s="1" t="s">
        <v>1956</v>
      </c>
      <c r="B1958" s="3" t="str">
        <f ca="1">IFERROR(__xludf.DUMMYFUNCTION("SPLIT(A1958,"","")"),"US")</f>
        <v>US</v>
      </c>
      <c r="C1958" s="3" t="str">
        <f ca="1">IFERROR(__xludf.DUMMYFUNCTION("""COMPUTED_VALUE"""),"Walden University")</f>
        <v>Walden University</v>
      </c>
      <c r="D1958" s="4" t="str">
        <f ca="1">IFERROR(__xludf.DUMMYFUNCTION("""COMPUTED_VALUE"""),"http://www.waldenu.edu/")</f>
        <v>http://www.waldenu.edu/</v>
      </c>
      <c r="G1958" s="2" t="str">
        <f t="shared" ca="1" si="0"/>
        <v>Walden University</v>
      </c>
      <c r="H1958" s="3" t="str">
        <f t="shared" ca="1" si="1"/>
        <v>Walden University</v>
      </c>
      <c r="I1958" s="3" t="str">
        <f t="shared" ca="1" si="2"/>
        <v>'Walden University',</v>
      </c>
    </row>
    <row r="1959" spans="1:9">
      <c r="A1959" s="1" t="s">
        <v>1957</v>
      </c>
      <c r="B1959" s="3" t="str">
        <f ca="1">IFERROR(__xludf.DUMMYFUNCTION("SPLIT(A1959,"","")"),"US")</f>
        <v>US</v>
      </c>
      <c r="C1959" s="3" t="str">
        <f ca="1">IFERROR(__xludf.DUMMYFUNCTION("""COMPUTED_VALUE"""),"Walla Walla College")</f>
        <v>Walla Walla College</v>
      </c>
      <c r="D1959" s="4" t="str">
        <f ca="1">IFERROR(__xludf.DUMMYFUNCTION("""COMPUTED_VALUE"""),"http://www.wwc.edu/")</f>
        <v>http://www.wwc.edu/</v>
      </c>
      <c r="G1959" s="2" t="str">
        <f t="shared" ca="1" si="0"/>
        <v>Walla Walla College</v>
      </c>
      <c r="H1959" s="3" t="str">
        <f t="shared" ca="1" si="1"/>
        <v>Walla Walla College</v>
      </c>
      <c r="I1959" s="3" t="str">
        <f t="shared" ca="1" si="2"/>
        <v>'Walla Walla College',</v>
      </c>
    </row>
    <row r="1960" spans="1:9">
      <c r="A1960" s="1" t="s">
        <v>1958</v>
      </c>
      <c r="B1960" s="3" t="str">
        <f ca="1">IFERROR(__xludf.DUMMYFUNCTION("SPLIT(A1960,"","")"),"US")</f>
        <v>US</v>
      </c>
      <c r="C1960" s="3" t="str">
        <f ca="1">IFERROR(__xludf.DUMMYFUNCTION("""COMPUTED_VALUE"""),"Walsh College of Accountancy and Business Administration")</f>
        <v>Walsh College of Accountancy and Business Administration</v>
      </c>
      <c r="D1960" s="4" t="str">
        <f ca="1">IFERROR(__xludf.DUMMYFUNCTION("""COMPUTED_VALUE"""),"http://www.walshcol.edu/")</f>
        <v>http://www.walshcol.edu/</v>
      </c>
      <c r="G1960" s="2" t="str">
        <f t="shared" ca="1" si="0"/>
        <v>Walsh College of Accountancy and Business Administration</v>
      </c>
      <c r="H1960" s="3" t="str">
        <f t="shared" ca="1" si="1"/>
        <v>Walsh College of Accountancy and Business Administration</v>
      </c>
      <c r="I1960" s="3" t="str">
        <f t="shared" ca="1" si="2"/>
        <v>'Walsh College of Accountancy and Business Administration',</v>
      </c>
    </row>
    <row r="1961" spans="1:9">
      <c r="A1961" s="1" t="s">
        <v>1959</v>
      </c>
      <c r="B1961" s="3" t="str">
        <f ca="1">IFERROR(__xludf.DUMMYFUNCTION("SPLIT(A1961,"","")"),"US")</f>
        <v>US</v>
      </c>
      <c r="C1961" s="3" t="str">
        <f ca="1">IFERROR(__xludf.DUMMYFUNCTION("""COMPUTED_VALUE"""),"Walsh University")</f>
        <v>Walsh University</v>
      </c>
      <c r="D1961" s="4" t="str">
        <f ca="1">IFERROR(__xludf.DUMMYFUNCTION("""COMPUTED_VALUE"""),"http://www.walsh.edu/")</f>
        <v>http://www.walsh.edu/</v>
      </c>
      <c r="G1961" s="2" t="str">
        <f t="shared" ca="1" si="0"/>
        <v>Walsh University</v>
      </c>
      <c r="H1961" s="3" t="str">
        <f t="shared" ca="1" si="1"/>
        <v>Walsh University</v>
      </c>
      <c r="I1961" s="3" t="str">
        <f t="shared" ca="1" si="2"/>
        <v>'Walsh University',</v>
      </c>
    </row>
    <row r="1962" spans="1:9">
      <c r="A1962" s="1" t="s">
        <v>1960</v>
      </c>
      <c r="B1962" s="3" t="str">
        <f ca="1">IFERROR(__xludf.DUMMYFUNCTION("SPLIT(A1962,"","")"),"US")</f>
        <v>US</v>
      </c>
      <c r="C1962" s="3" t="str">
        <f ca="1">IFERROR(__xludf.DUMMYFUNCTION("""COMPUTED_VALUE"""),"Warner Pacific College")</f>
        <v>Warner Pacific College</v>
      </c>
      <c r="D1962" s="4" t="str">
        <f ca="1">IFERROR(__xludf.DUMMYFUNCTION("""COMPUTED_VALUE"""),"http://www.warnerpacific.edu/")</f>
        <v>http://www.warnerpacific.edu/</v>
      </c>
      <c r="G1962" s="2" t="str">
        <f t="shared" ca="1" si="0"/>
        <v>Warner Pacific College</v>
      </c>
      <c r="H1962" s="3" t="str">
        <f t="shared" ca="1" si="1"/>
        <v>Warner Pacific College</v>
      </c>
      <c r="I1962" s="3" t="str">
        <f t="shared" ca="1" si="2"/>
        <v>'Warner Pacific College',</v>
      </c>
    </row>
    <row r="1963" spans="1:9">
      <c r="A1963" s="1" t="s">
        <v>1961</v>
      </c>
      <c r="B1963" s="3" t="str">
        <f ca="1">IFERROR(__xludf.DUMMYFUNCTION("SPLIT(A1963,"","")"),"US")</f>
        <v>US</v>
      </c>
      <c r="C1963" s="3" t="str">
        <f ca="1">IFERROR(__xludf.DUMMYFUNCTION("""COMPUTED_VALUE"""),"Warner Southern College")</f>
        <v>Warner Southern College</v>
      </c>
      <c r="D1963" s="4" t="str">
        <f ca="1">IFERROR(__xludf.DUMMYFUNCTION("""COMPUTED_VALUE"""),"http://www.warner.edu/")</f>
        <v>http://www.warner.edu/</v>
      </c>
      <c r="G1963" s="2" t="str">
        <f t="shared" ca="1" si="0"/>
        <v>Warner Southern College</v>
      </c>
      <c r="H1963" s="3" t="str">
        <f t="shared" ca="1" si="1"/>
        <v>Warner Southern College</v>
      </c>
      <c r="I1963" s="3" t="str">
        <f t="shared" ca="1" si="2"/>
        <v>'Warner Southern College',</v>
      </c>
    </row>
    <row r="1964" spans="1:9">
      <c r="A1964" s="1" t="s">
        <v>1962</v>
      </c>
      <c r="B1964" s="3" t="str">
        <f ca="1">IFERROR(__xludf.DUMMYFUNCTION("SPLIT(A1964,"","")"),"US")</f>
        <v>US</v>
      </c>
      <c r="C1964" s="3" t="str">
        <f ca="1">IFERROR(__xludf.DUMMYFUNCTION("""COMPUTED_VALUE"""),"Warren Wilson College")</f>
        <v>Warren Wilson College</v>
      </c>
      <c r="D1964" s="4" t="str">
        <f ca="1">IFERROR(__xludf.DUMMYFUNCTION("""COMPUTED_VALUE"""),"http://www.warren-wilson.edu/")</f>
        <v>http://www.warren-wilson.edu/</v>
      </c>
      <c r="G1964" s="2" t="str">
        <f t="shared" ca="1" si="0"/>
        <v>Warren Wilson College</v>
      </c>
      <c r="H1964" s="3" t="str">
        <f t="shared" ca="1" si="1"/>
        <v>Warren Wilson College</v>
      </c>
      <c r="I1964" s="3" t="str">
        <f t="shared" ca="1" si="2"/>
        <v>'Warren Wilson College',</v>
      </c>
    </row>
    <row r="1965" spans="1:9">
      <c r="A1965" s="1" t="s">
        <v>1963</v>
      </c>
      <c r="B1965" s="3" t="str">
        <f ca="1">IFERROR(__xludf.DUMMYFUNCTION("SPLIT(A1965,"","")"),"US")</f>
        <v>US</v>
      </c>
      <c r="C1965" s="3" t="str">
        <f ca="1">IFERROR(__xludf.DUMMYFUNCTION("""COMPUTED_VALUE"""),"Wartburg College")</f>
        <v>Wartburg College</v>
      </c>
      <c r="D1965" s="4" t="str">
        <f ca="1">IFERROR(__xludf.DUMMYFUNCTION("""COMPUTED_VALUE"""),"http://www.wartburg.edu/")</f>
        <v>http://www.wartburg.edu/</v>
      </c>
      <c r="G1965" s="2" t="str">
        <f t="shared" ca="1" si="0"/>
        <v>Wartburg College</v>
      </c>
      <c r="H1965" s="3" t="str">
        <f t="shared" ca="1" si="1"/>
        <v>Wartburg College</v>
      </c>
      <c r="I1965" s="3" t="str">
        <f t="shared" ca="1" si="2"/>
        <v>'Wartburg College',</v>
      </c>
    </row>
    <row r="1966" spans="1:9">
      <c r="A1966" s="1" t="s">
        <v>1964</v>
      </c>
      <c r="B1966" s="3" t="str">
        <f ca="1">IFERROR(__xludf.DUMMYFUNCTION("SPLIT(A1966,"","")"),"US")</f>
        <v>US</v>
      </c>
      <c r="C1966" s="3" t="str">
        <f ca="1">IFERROR(__xludf.DUMMYFUNCTION("""COMPUTED_VALUE"""),"Washburn University")</f>
        <v>Washburn University</v>
      </c>
      <c r="D1966" s="4" t="str">
        <f ca="1">IFERROR(__xludf.DUMMYFUNCTION("""COMPUTED_VALUE"""),"http://www.washburn.edu/")</f>
        <v>http://www.washburn.edu/</v>
      </c>
      <c r="G1966" s="2" t="str">
        <f t="shared" ca="1" si="0"/>
        <v>Washburn University</v>
      </c>
      <c r="H1966" s="3" t="str">
        <f t="shared" ca="1" si="1"/>
        <v>Washburn University</v>
      </c>
      <c r="I1966" s="3" t="str">
        <f t="shared" ca="1" si="2"/>
        <v>'Washburn University',</v>
      </c>
    </row>
    <row r="1967" spans="1:9">
      <c r="A1967" s="1" t="s">
        <v>1965</v>
      </c>
      <c r="B1967" s="3" t="str">
        <f ca="1">IFERROR(__xludf.DUMMYFUNCTION("SPLIT(A1967,"","")"),"US")</f>
        <v>US</v>
      </c>
      <c r="C1967" s="3" t="str">
        <f ca="1">IFERROR(__xludf.DUMMYFUNCTION("""COMPUTED_VALUE"""),"Washington and Lee University")</f>
        <v>Washington and Lee University</v>
      </c>
      <c r="D1967" s="4" t="str">
        <f ca="1">IFERROR(__xludf.DUMMYFUNCTION("""COMPUTED_VALUE"""),"http://www.wlu.edu/")</f>
        <v>http://www.wlu.edu/</v>
      </c>
      <c r="G1967" s="2" t="str">
        <f t="shared" ca="1" si="0"/>
        <v>Washington and Lee University</v>
      </c>
      <c r="H1967" s="3" t="str">
        <f t="shared" ca="1" si="1"/>
        <v>Washington and Lee University</v>
      </c>
      <c r="I1967" s="3" t="str">
        <f t="shared" ca="1" si="2"/>
        <v>'Washington and Lee University',</v>
      </c>
    </row>
    <row r="1968" spans="1:9">
      <c r="A1968" s="1" t="s">
        <v>1966</v>
      </c>
      <c r="B1968" s="3" t="str">
        <f ca="1">IFERROR(__xludf.DUMMYFUNCTION("SPLIT(A1968,"","")"),"US")</f>
        <v>US</v>
      </c>
      <c r="C1968" s="3" t="str">
        <f ca="1">IFERROR(__xludf.DUMMYFUNCTION("""COMPUTED_VALUE"""),"Washington Bible College")</f>
        <v>Washington Bible College</v>
      </c>
      <c r="D1968" s="4" t="str">
        <f ca="1">IFERROR(__xludf.DUMMYFUNCTION("""COMPUTED_VALUE"""),"http://www.bible.edu/")</f>
        <v>http://www.bible.edu/</v>
      </c>
      <c r="G1968" s="2" t="str">
        <f t="shared" ca="1" si="0"/>
        <v>Washington Bible College</v>
      </c>
      <c r="H1968" s="3" t="str">
        <f t="shared" ca="1" si="1"/>
        <v>Washington Bible College</v>
      </c>
      <c r="I1968" s="3" t="str">
        <f t="shared" ca="1" si="2"/>
        <v>'Washington Bible College',</v>
      </c>
    </row>
    <row r="1969" spans="1:9">
      <c r="A1969" s="1" t="s">
        <v>1967</v>
      </c>
      <c r="B1969" s="3" t="str">
        <f ca="1">IFERROR(__xludf.DUMMYFUNCTION("SPLIT(A1969,"","")"),"US")</f>
        <v>US</v>
      </c>
      <c r="C1969" s="3" t="str">
        <f ca="1">IFERROR(__xludf.DUMMYFUNCTION("""COMPUTED_VALUE"""),"Washington College")</f>
        <v>Washington College</v>
      </c>
      <c r="D1969" s="4" t="str">
        <f ca="1">IFERROR(__xludf.DUMMYFUNCTION("""COMPUTED_VALUE"""),"http://www.washcoll.edu/")</f>
        <v>http://www.washcoll.edu/</v>
      </c>
      <c r="G1969" s="2" t="str">
        <f t="shared" ca="1" si="0"/>
        <v>Washington College</v>
      </c>
      <c r="H1969" s="3" t="str">
        <f t="shared" ca="1" si="1"/>
        <v>Washington College</v>
      </c>
      <c r="I1969" s="3" t="str">
        <f t="shared" ca="1" si="2"/>
        <v>'Washington College',</v>
      </c>
    </row>
    <row r="1970" spans="1:9">
      <c r="A1970" s="1" t="s">
        <v>1968</v>
      </c>
      <c r="B1970" s="3" t="str">
        <f ca="1">IFERROR(__xludf.DUMMYFUNCTION("SPLIT(A1970,"","")"),"US")</f>
        <v>US</v>
      </c>
      <c r="C1970" s="3" t="str">
        <f ca="1">IFERROR(__xludf.DUMMYFUNCTION("""COMPUTED_VALUE"""),"Washington State University")</f>
        <v>Washington State University</v>
      </c>
      <c r="D1970" s="4" t="str">
        <f ca="1">IFERROR(__xludf.DUMMYFUNCTION("""COMPUTED_VALUE"""),"http://www.wsu.edu/")</f>
        <v>http://www.wsu.edu/</v>
      </c>
      <c r="G1970" s="2" t="str">
        <f t="shared" ca="1" si="0"/>
        <v>Washington State University</v>
      </c>
      <c r="H1970" s="3" t="str">
        <f t="shared" ca="1" si="1"/>
        <v>Washington State University</v>
      </c>
      <c r="I1970" s="3" t="str">
        <f t="shared" ca="1" si="2"/>
        <v>'Washington State University',</v>
      </c>
    </row>
    <row r="1971" spans="1:9">
      <c r="A1971" s="1" t="s">
        <v>1969</v>
      </c>
      <c r="B1971" s="3" t="str">
        <f ca="1">IFERROR(__xludf.DUMMYFUNCTION("SPLIT(A1971,"","")"),"US")</f>
        <v>US</v>
      </c>
      <c r="C1971" s="3" t="str">
        <f ca="1">IFERROR(__xludf.DUMMYFUNCTION("""COMPUTED_VALUE"""),"""Washington State University")</f>
        <v>"Washington State University</v>
      </c>
      <c r="D1971" s="3" t="str">
        <f ca="1">IFERROR(__xludf.DUMMYFUNCTION("""COMPUTED_VALUE""")," Spokane""")</f>
        <v xml:space="preserve"> Spokane"</v>
      </c>
      <c r="E1971" s="4" t="str">
        <f ca="1">IFERROR(__xludf.DUMMYFUNCTION("""COMPUTED_VALUE"""),"http://www.spokane.wsu.edu/")</f>
        <v>http://www.spokane.wsu.edu/</v>
      </c>
      <c r="G1971" s="2" t="str">
        <f t="shared" ca="1" si="0"/>
        <v>"Washington State University</v>
      </c>
      <c r="H1971" s="3" t="str">
        <f t="shared" ca="1" si="1"/>
        <v>Washington State University</v>
      </c>
      <c r="I1971" s="3" t="str">
        <f t="shared" ca="1" si="2"/>
        <v>'Washington State University',</v>
      </c>
    </row>
    <row r="1972" spans="1:9">
      <c r="A1972" s="1" t="s">
        <v>1970</v>
      </c>
      <c r="B1972" s="3" t="str">
        <f ca="1">IFERROR(__xludf.DUMMYFUNCTION("SPLIT(A1972,"","")"),"US")</f>
        <v>US</v>
      </c>
      <c r="C1972" s="3" t="str">
        <f ca="1">IFERROR(__xludf.DUMMYFUNCTION("""COMPUTED_VALUE"""),"""Washington State University")</f>
        <v>"Washington State University</v>
      </c>
      <c r="D1972" s="3" t="str">
        <f ca="1">IFERROR(__xludf.DUMMYFUNCTION("""COMPUTED_VALUE""")," Tri-Cities""")</f>
        <v xml:space="preserve"> Tri-Cities"</v>
      </c>
      <c r="E1972" s="4" t="str">
        <f ca="1">IFERROR(__xludf.DUMMYFUNCTION("""COMPUTED_VALUE"""),"http://www.tricity.wsu.edu/")</f>
        <v>http://www.tricity.wsu.edu/</v>
      </c>
      <c r="G1972" s="2" t="str">
        <f t="shared" ca="1" si="0"/>
        <v>"Washington State University</v>
      </c>
      <c r="H1972" s="3" t="str">
        <f t="shared" ca="1" si="1"/>
        <v>Washington State University</v>
      </c>
      <c r="I1972" s="3" t="str">
        <f t="shared" ca="1" si="2"/>
        <v>'Washington State University',</v>
      </c>
    </row>
    <row r="1973" spans="1:9">
      <c r="A1973" s="1" t="s">
        <v>1971</v>
      </c>
      <c r="B1973" s="3" t="str">
        <f ca="1">IFERROR(__xludf.DUMMYFUNCTION("SPLIT(A1973,"","")"),"US")</f>
        <v>US</v>
      </c>
      <c r="C1973" s="3" t="str">
        <f ca="1">IFERROR(__xludf.DUMMYFUNCTION("""COMPUTED_VALUE"""),"""Washington State University")</f>
        <v>"Washington State University</v>
      </c>
      <c r="D1973" s="3" t="str">
        <f ca="1">IFERROR(__xludf.DUMMYFUNCTION("""COMPUTED_VALUE""")," Vancouver""")</f>
        <v xml:space="preserve"> Vancouver"</v>
      </c>
      <c r="E1973" s="4" t="str">
        <f ca="1">IFERROR(__xludf.DUMMYFUNCTION("""COMPUTED_VALUE"""),"http://www.vancouver.wsu.edu/")</f>
        <v>http://www.vancouver.wsu.edu/</v>
      </c>
      <c r="G1973" s="2" t="str">
        <f t="shared" ca="1" si="0"/>
        <v>"Washington State University</v>
      </c>
      <c r="H1973" s="3" t="str">
        <f t="shared" ca="1" si="1"/>
        <v>Washington State University</v>
      </c>
      <c r="I1973" s="3" t="str">
        <f t="shared" ca="1" si="2"/>
        <v>'Washington State University',</v>
      </c>
    </row>
    <row r="1974" spans="1:9">
      <c r="A1974" s="1" t="s">
        <v>1972</v>
      </c>
      <c r="B1974" s="3" t="str">
        <f ca="1">IFERROR(__xludf.DUMMYFUNCTION("SPLIT(A1974,"","")"),"US")</f>
        <v>US</v>
      </c>
      <c r="C1974" s="3" t="str">
        <f ca="1">IFERROR(__xludf.DUMMYFUNCTION("""COMPUTED_VALUE"""),"Washington University in St. Louis")</f>
        <v>Washington University in St. Louis</v>
      </c>
      <c r="D1974" s="4" t="str">
        <f ca="1">IFERROR(__xludf.DUMMYFUNCTION("""COMPUTED_VALUE"""),"http://www.wustl.edu/")</f>
        <v>http://www.wustl.edu/</v>
      </c>
      <c r="G1974" s="2" t="str">
        <f t="shared" ca="1" si="0"/>
        <v>Washington University in St. Louis</v>
      </c>
      <c r="H1974" s="3" t="str">
        <f t="shared" ca="1" si="1"/>
        <v>Washington University in St. Louis</v>
      </c>
      <c r="I1974" s="3" t="str">
        <f t="shared" ca="1" si="2"/>
        <v>'Washington University in St. Louis',</v>
      </c>
    </row>
    <row r="1975" spans="1:9">
      <c r="A1975" s="1" t="s">
        <v>1973</v>
      </c>
      <c r="B1975" s="3" t="str">
        <f ca="1">IFERROR(__xludf.DUMMYFUNCTION("SPLIT(A1975,"","")"),"US")</f>
        <v>US</v>
      </c>
      <c r="C1975" s="3" t="str">
        <f ca="1">IFERROR(__xludf.DUMMYFUNCTION("""COMPUTED_VALUE"""),"Wayland Baptist University")</f>
        <v>Wayland Baptist University</v>
      </c>
      <c r="D1975" s="4" t="str">
        <f ca="1">IFERROR(__xludf.DUMMYFUNCTION("""COMPUTED_VALUE"""),"http://www.wbu.edu/")</f>
        <v>http://www.wbu.edu/</v>
      </c>
      <c r="G1975" s="2" t="str">
        <f t="shared" ca="1" si="0"/>
        <v>Wayland Baptist University</v>
      </c>
      <c r="H1975" s="3" t="str">
        <f t="shared" ca="1" si="1"/>
        <v>Wayland Baptist University</v>
      </c>
      <c r="I1975" s="3" t="str">
        <f t="shared" ca="1" si="2"/>
        <v>'Wayland Baptist University',</v>
      </c>
    </row>
    <row r="1976" spans="1:9">
      <c r="A1976" s="1" t="s">
        <v>1974</v>
      </c>
      <c r="B1976" s="3" t="str">
        <f ca="1">IFERROR(__xludf.DUMMYFUNCTION("SPLIT(A1976,"","")"),"US")</f>
        <v>US</v>
      </c>
      <c r="C1976" s="3" t="str">
        <f ca="1">IFERROR(__xludf.DUMMYFUNCTION("""COMPUTED_VALUE"""),"Waynesburg College")</f>
        <v>Waynesburg College</v>
      </c>
      <c r="D1976" s="4" t="str">
        <f ca="1">IFERROR(__xludf.DUMMYFUNCTION("""COMPUTED_VALUE"""),"http://www.waynesburg.edu/")</f>
        <v>http://www.waynesburg.edu/</v>
      </c>
      <c r="G1976" s="2" t="str">
        <f t="shared" ca="1" si="0"/>
        <v>Waynesburg College</v>
      </c>
      <c r="H1976" s="3" t="str">
        <f t="shared" ca="1" si="1"/>
        <v>Waynesburg College</v>
      </c>
      <c r="I1976" s="3" t="str">
        <f t="shared" ca="1" si="2"/>
        <v>'Waynesburg College',</v>
      </c>
    </row>
    <row r="1977" spans="1:9">
      <c r="A1977" s="1" t="s">
        <v>1975</v>
      </c>
      <c r="B1977" s="3" t="str">
        <f ca="1">IFERROR(__xludf.DUMMYFUNCTION("SPLIT(A1977,"","")"),"US")</f>
        <v>US</v>
      </c>
      <c r="C1977" s="3" t="str">
        <f ca="1">IFERROR(__xludf.DUMMYFUNCTION("""COMPUTED_VALUE"""),"Wayne State College")</f>
        <v>Wayne State College</v>
      </c>
      <c r="D1977" s="4" t="str">
        <f ca="1">IFERROR(__xludf.DUMMYFUNCTION("""COMPUTED_VALUE"""),"http://www.wsc.edu/")</f>
        <v>http://www.wsc.edu/</v>
      </c>
      <c r="G1977" s="2" t="str">
        <f t="shared" ca="1" si="0"/>
        <v>Wayne State College</v>
      </c>
      <c r="H1977" s="3" t="str">
        <f t="shared" ca="1" si="1"/>
        <v>Wayne State College</v>
      </c>
      <c r="I1977" s="3" t="str">
        <f t="shared" ca="1" si="2"/>
        <v>'Wayne State College',</v>
      </c>
    </row>
    <row r="1978" spans="1:9">
      <c r="A1978" s="1" t="s">
        <v>1976</v>
      </c>
      <c r="B1978" s="3" t="str">
        <f ca="1">IFERROR(__xludf.DUMMYFUNCTION("SPLIT(A1978,"","")"),"US")</f>
        <v>US</v>
      </c>
      <c r="C1978" s="3" t="str">
        <f ca="1">IFERROR(__xludf.DUMMYFUNCTION("""COMPUTED_VALUE"""),"Wayne State University")</f>
        <v>Wayne State University</v>
      </c>
      <c r="D1978" s="4" t="str">
        <f ca="1">IFERROR(__xludf.DUMMYFUNCTION("""COMPUTED_VALUE"""),"http://www.wayne.edu/")</f>
        <v>http://www.wayne.edu/</v>
      </c>
      <c r="G1978" s="2" t="str">
        <f t="shared" ca="1" si="0"/>
        <v>Wayne State University</v>
      </c>
      <c r="H1978" s="3" t="str">
        <f t="shared" ca="1" si="1"/>
        <v>Wayne State University</v>
      </c>
      <c r="I1978" s="3" t="str">
        <f t="shared" ca="1" si="2"/>
        <v>'Wayne State University',</v>
      </c>
    </row>
    <row r="1979" spans="1:9">
      <c r="A1979" s="1" t="s">
        <v>1977</v>
      </c>
      <c r="B1979" s="3" t="str">
        <f ca="1">IFERROR(__xludf.DUMMYFUNCTION("SPLIT(A1979,"","")"),"US")</f>
        <v>US</v>
      </c>
      <c r="C1979" s="3" t="str">
        <f ca="1">IFERROR(__xludf.DUMMYFUNCTION("""COMPUTED_VALUE"""),"Webber College")</f>
        <v>Webber College</v>
      </c>
      <c r="D1979" s="4" t="str">
        <f ca="1">IFERROR(__xludf.DUMMYFUNCTION("""COMPUTED_VALUE"""),"http://www.webber.edu/")</f>
        <v>http://www.webber.edu/</v>
      </c>
      <c r="G1979" s="2" t="str">
        <f t="shared" ca="1" si="0"/>
        <v>Webber College</v>
      </c>
      <c r="H1979" s="3" t="str">
        <f t="shared" ca="1" si="1"/>
        <v>Webber College</v>
      </c>
      <c r="I1979" s="3" t="str">
        <f t="shared" ca="1" si="2"/>
        <v>'Webber College',</v>
      </c>
    </row>
    <row r="1980" spans="1:9">
      <c r="A1980" s="1" t="s">
        <v>1978</v>
      </c>
      <c r="B1980" s="3" t="str">
        <f ca="1">IFERROR(__xludf.DUMMYFUNCTION("SPLIT(A1980,"","")"),"US")</f>
        <v>US</v>
      </c>
      <c r="C1980" s="3" t="str">
        <f ca="1">IFERROR(__xludf.DUMMYFUNCTION("""COMPUTED_VALUE"""),"Webb Institute")</f>
        <v>Webb Institute</v>
      </c>
      <c r="D1980" s="4" t="str">
        <f ca="1">IFERROR(__xludf.DUMMYFUNCTION("""COMPUTED_VALUE"""),"http://www.webb-institute.edu/")</f>
        <v>http://www.webb-institute.edu/</v>
      </c>
      <c r="G1980" s="2" t="str">
        <f t="shared" ca="1" si="0"/>
        <v>Webb Institute</v>
      </c>
      <c r="H1980" s="3" t="str">
        <f t="shared" ca="1" si="1"/>
        <v>Webb Institute</v>
      </c>
      <c r="I1980" s="3" t="str">
        <f t="shared" ca="1" si="2"/>
        <v>'Webb Institute',</v>
      </c>
    </row>
    <row r="1981" spans="1:9">
      <c r="A1981" s="1" t="s">
        <v>1979</v>
      </c>
      <c r="B1981" s="3" t="str">
        <f ca="1">IFERROR(__xludf.DUMMYFUNCTION("SPLIT(A1981,"","")"),"US")</f>
        <v>US</v>
      </c>
      <c r="C1981" s="3" t="str">
        <f ca="1">IFERROR(__xludf.DUMMYFUNCTION("""COMPUTED_VALUE"""),"Weber State University")</f>
        <v>Weber State University</v>
      </c>
      <c r="D1981" s="4" t="str">
        <f ca="1">IFERROR(__xludf.DUMMYFUNCTION("""COMPUTED_VALUE"""),"http://www.weber.edu/")</f>
        <v>http://www.weber.edu/</v>
      </c>
      <c r="G1981" s="2" t="str">
        <f t="shared" ca="1" si="0"/>
        <v>Weber State University</v>
      </c>
      <c r="H1981" s="3" t="str">
        <f t="shared" ca="1" si="1"/>
        <v>Weber State University</v>
      </c>
      <c r="I1981" s="3" t="str">
        <f t="shared" ca="1" si="2"/>
        <v>'Weber State University',</v>
      </c>
    </row>
    <row r="1982" spans="1:9">
      <c r="A1982" s="1" t="s">
        <v>1980</v>
      </c>
      <c r="B1982" s="3" t="str">
        <f ca="1">IFERROR(__xludf.DUMMYFUNCTION("SPLIT(A1982,"","")"),"US")</f>
        <v>US</v>
      </c>
      <c r="C1982" s="3" t="str">
        <f ca="1">IFERROR(__xludf.DUMMYFUNCTION("""COMPUTED_VALUE"""),"Webster University")</f>
        <v>Webster University</v>
      </c>
      <c r="D1982" s="4" t="str">
        <f ca="1">IFERROR(__xludf.DUMMYFUNCTION("""COMPUTED_VALUE"""),"http://www.webster.edu/")</f>
        <v>http://www.webster.edu/</v>
      </c>
      <c r="G1982" s="2" t="str">
        <f t="shared" ca="1" si="0"/>
        <v>Webster University</v>
      </c>
      <c r="H1982" s="3" t="str">
        <f t="shared" ca="1" si="1"/>
        <v>Webster University</v>
      </c>
      <c r="I1982" s="3" t="str">
        <f t="shared" ca="1" si="2"/>
        <v>'Webster University',</v>
      </c>
    </row>
    <row r="1983" spans="1:9">
      <c r="A1983" s="1" t="s">
        <v>1981</v>
      </c>
      <c r="B1983" s="3" t="str">
        <f ca="1">IFERROR(__xludf.DUMMYFUNCTION("SPLIT(A1983,"","")"),"US")</f>
        <v>US</v>
      </c>
      <c r="C1983" s="3" t="str">
        <f ca="1">IFERROR(__xludf.DUMMYFUNCTION("""COMPUTED_VALUE"""),"Webster University North Florida")</f>
        <v>Webster University North Florida</v>
      </c>
      <c r="D1983" s="4" t="str">
        <f ca="1">IFERROR(__xludf.DUMMYFUNCTION("""COMPUTED_VALUE"""),"http://www.webster.edu/jack/")</f>
        <v>http://www.webster.edu/jack/</v>
      </c>
      <c r="G1983" s="2" t="str">
        <f t="shared" ca="1" si="0"/>
        <v>Webster University North Florida</v>
      </c>
      <c r="H1983" s="3" t="str">
        <f t="shared" ca="1" si="1"/>
        <v>Webster University North Florida</v>
      </c>
      <c r="I1983" s="3" t="str">
        <f t="shared" ca="1" si="2"/>
        <v>'Webster University North Florida',</v>
      </c>
    </row>
    <row r="1984" spans="1:9">
      <c r="A1984" s="1" t="s">
        <v>1982</v>
      </c>
      <c r="B1984" s="3" t="str">
        <f ca="1">IFERROR(__xludf.DUMMYFUNCTION("SPLIT(A1984,"","")"),"US")</f>
        <v>US</v>
      </c>
      <c r="C1984" s="3" t="str">
        <f ca="1">IFERROR(__xludf.DUMMYFUNCTION("""COMPUTED_VALUE"""),"Weill Medical College of Cornell University")</f>
        <v>Weill Medical College of Cornell University</v>
      </c>
      <c r="D1984" s="4" t="str">
        <f ca="1">IFERROR(__xludf.DUMMYFUNCTION("""COMPUTED_VALUE"""),"http://www.med.cornell.edu/")</f>
        <v>http://www.med.cornell.edu/</v>
      </c>
      <c r="G1984" s="2" t="str">
        <f t="shared" ca="1" si="0"/>
        <v>Weill Medical College of Cornell University</v>
      </c>
      <c r="H1984" s="3" t="str">
        <f t="shared" ca="1" si="1"/>
        <v>Weill Medical College of Cornell University</v>
      </c>
      <c r="I1984" s="3" t="str">
        <f t="shared" ca="1" si="2"/>
        <v>'Weill Medical College of Cornell University',</v>
      </c>
    </row>
    <row r="1985" spans="1:9">
      <c r="A1985" s="1" t="s">
        <v>1983</v>
      </c>
      <c r="B1985" s="3" t="str">
        <f ca="1">IFERROR(__xludf.DUMMYFUNCTION("SPLIT(A1985,"","")"),"US")</f>
        <v>US</v>
      </c>
      <c r="C1985" s="3" t="str">
        <f ca="1">IFERROR(__xludf.DUMMYFUNCTION("""COMPUTED_VALUE"""),"Wellesley College")</f>
        <v>Wellesley College</v>
      </c>
      <c r="D1985" s="4" t="str">
        <f ca="1">IFERROR(__xludf.DUMMYFUNCTION("""COMPUTED_VALUE"""),"http://www.wellesley.edu/")</f>
        <v>http://www.wellesley.edu/</v>
      </c>
      <c r="G1985" s="2" t="str">
        <f t="shared" ca="1" si="0"/>
        <v>Wellesley College</v>
      </c>
      <c r="H1985" s="3" t="str">
        <f t="shared" ca="1" si="1"/>
        <v>Wellesley College</v>
      </c>
      <c r="I1985" s="3" t="str">
        <f t="shared" ca="1" si="2"/>
        <v>'Wellesley College',</v>
      </c>
    </row>
    <row r="1986" spans="1:9">
      <c r="A1986" s="1" t="s">
        <v>1984</v>
      </c>
      <c r="B1986" s="3" t="str">
        <f ca="1">IFERROR(__xludf.DUMMYFUNCTION("SPLIT(A1986,"","")"),"US")</f>
        <v>US</v>
      </c>
      <c r="C1986" s="3" t="str">
        <f ca="1">IFERROR(__xludf.DUMMYFUNCTION("""COMPUTED_VALUE"""),"Wells College")</f>
        <v>Wells College</v>
      </c>
      <c r="D1986" s="4" t="str">
        <f ca="1">IFERROR(__xludf.DUMMYFUNCTION("""COMPUTED_VALUE"""),"http://www.wells.edu/")</f>
        <v>http://www.wells.edu/</v>
      </c>
      <c r="G1986" s="2" t="str">
        <f t="shared" ca="1" si="0"/>
        <v>Wells College</v>
      </c>
      <c r="H1986" s="3" t="str">
        <f t="shared" ca="1" si="1"/>
        <v>Wells College</v>
      </c>
      <c r="I1986" s="3" t="str">
        <f t="shared" ca="1" si="2"/>
        <v>'Wells College',</v>
      </c>
    </row>
    <row r="1987" spans="1:9">
      <c r="A1987" s="1" t="s">
        <v>1985</v>
      </c>
      <c r="B1987" s="3" t="str">
        <f ca="1">IFERROR(__xludf.DUMMYFUNCTION("SPLIT(A1987,"","")"),"US")</f>
        <v>US</v>
      </c>
      <c r="C1987" s="3" t="str">
        <f ca="1">IFERROR(__xludf.DUMMYFUNCTION("""COMPUTED_VALUE"""),"Wentworth Institute of Technology")</f>
        <v>Wentworth Institute of Technology</v>
      </c>
      <c r="D1987" s="4" t="str">
        <f ca="1">IFERROR(__xludf.DUMMYFUNCTION("""COMPUTED_VALUE"""),"http://www.wit.edu/")</f>
        <v>http://www.wit.edu/</v>
      </c>
      <c r="G1987" s="2" t="str">
        <f t="shared" ca="1" si="0"/>
        <v>Wentworth Institute of Technology</v>
      </c>
      <c r="H1987" s="3" t="str">
        <f t="shared" ca="1" si="1"/>
        <v>Wentworth Institute of Technology</v>
      </c>
      <c r="I1987" s="3" t="str">
        <f t="shared" ca="1" si="2"/>
        <v>'Wentworth Institute of Technology',</v>
      </c>
    </row>
    <row r="1988" spans="1:9">
      <c r="A1988" s="1" t="s">
        <v>1986</v>
      </c>
      <c r="B1988" s="3" t="str">
        <f ca="1">IFERROR(__xludf.DUMMYFUNCTION("SPLIT(A1988,"","")"),"US")</f>
        <v>US</v>
      </c>
      <c r="C1988" s="3" t="str">
        <f ca="1">IFERROR(__xludf.DUMMYFUNCTION("""COMPUTED_VALUE"""),"Wesleyan College")</f>
        <v>Wesleyan College</v>
      </c>
      <c r="D1988" s="4" t="str">
        <f ca="1">IFERROR(__xludf.DUMMYFUNCTION("""COMPUTED_VALUE"""),"http://www.wesleyan-college.edu/")</f>
        <v>http://www.wesleyan-college.edu/</v>
      </c>
      <c r="G1988" s="2" t="str">
        <f t="shared" ca="1" si="0"/>
        <v>Wesleyan College</v>
      </c>
      <c r="H1988" s="3" t="str">
        <f t="shared" ca="1" si="1"/>
        <v>Wesleyan College</v>
      </c>
      <c r="I1988" s="3" t="str">
        <f t="shared" ca="1" si="2"/>
        <v>'Wesleyan College',</v>
      </c>
    </row>
    <row r="1989" spans="1:9">
      <c r="A1989" s="1" t="s">
        <v>1987</v>
      </c>
      <c r="B1989" s="3" t="str">
        <f ca="1">IFERROR(__xludf.DUMMYFUNCTION("SPLIT(A1989,"","")"),"US")</f>
        <v>US</v>
      </c>
      <c r="C1989" s="3" t="str">
        <f ca="1">IFERROR(__xludf.DUMMYFUNCTION("""COMPUTED_VALUE"""),"Wesleyan University")</f>
        <v>Wesleyan University</v>
      </c>
      <c r="D1989" s="4" t="str">
        <f ca="1">IFERROR(__xludf.DUMMYFUNCTION("""COMPUTED_VALUE"""),"http://www.wesleyan.edu/")</f>
        <v>http://www.wesleyan.edu/</v>
      </c>
      <c r="G1989" s="2" t="str">
        <f t="shared" ca="1" si="0"/>
        <v>Wesleyan University</v>
      </c>
      <c r="H1989" s="3" t="str">
        <f t="shared" ca="1" si="1"/>
        <v>Wesleyan University</v>
      </c>
      <c r="I1989" s="3" t="str">
        <f t="shared" ca="1" si="2"/>
        <v>'Wesleyan University',</v>
      </c>
    </row>
    <row r="1990" spans="1:9">
      <c r="A1990" s="1" t="s">
        <v>1988</v>
      </c>
      <c r="B1990" s="3" t="str">
        <f ca="1">IFERROR(__xludf.DUMMYFUNCTION("SPLIT(A1990,"","")"),"US")</f>
        <v>US</v>
      </c>
      <c r="C1990" s="3" t="str">
        <f ca="1">IFERROR(__xludf.DUMMYFUNCTION("""COMPUTED_VALUE"""),"Wesley College")</f>
        <v>Wesley College</v>
      </c>
      <c r="D1990" s="4" t="str">
        <f ca="1">IFERROR(__xludf.DUMMYFUNCTION("""COMPUTED_VALUE"""),"http://www.wesley.edu/")</f>
        <v>http://www.wesley.edu/</v>
      </c>
      <c r="G1990" s="2" t="str">
        <f t="shared" ca="1" si="0"/>
        <v>Wesley College</v>
      </c>
      <c r="H1990" s="3" t="str">
        <f t="shared" ca="1" si="1"/>
        <v>Wesley College</v>
      </c>
      <c r="I1990" s="3" t="str">
        <f t="shared" ca="1" si="2"/>
        <v>'Wesley College',</v>
      </c>
    </row>
    <row r="1991" spans="1:9">
      <c r="A1991" s="1" t="s">
        <v>1989</v>
      </c>
      <c r="B1991" s="3" t="str">
        <f ca="1">IFERROR(__xludf.DUMMYFUNCTION("SPLIT(A1991,"","")"),"US")</f>
        <v>US</v>
      </c>
      <c r="C1991" s="3" t="str">
        <f ca="1">IFERROR(__xludf.DUMMYFUNCTION("""COMPUTED_VALUE"""),"Wesley College Mississippi")</f>
        <v>Wesley College Mississippi</v>
      </c>
      <c r="D1991" s="4" t="str">
        <f ca="1">IFERROR(__xludf.DUMMYFUNCTION("""COMPUTED_VALUE"""),"http://www.wesleycollege.com/")</f>
        <v>http://www.wesleycollege.com/</v>
      </c>
      <c r="G1991" s="2" t="str">
        <f t="shared" ca="1" si="0"/>
        <v>Wesley College Mississippi</v>
      </c>
      <c r="H1991" s="3" t="str">
        <f t="shared" ca="1" si="1"/>
        <v>Wesley College Mississippi</v>
      </c>
      <c r="I1991" s="3" t="str">
        <f t="shared" ca="1" si="2"/>
        <v>'Wesley College Mississippi',</v>
      </c>
    </row>
    <row r="1992" spans="1:9">
      <c r="A1992" s="1" t="s">
        <v>1990</v>
      </c>
      <c r="B1992" s="3" t="str">
        <f ca="1">IFERROR(__xludf.DUMMYFUNCTION("SPLIT(A1992,"","")"),"US")</f>
        <v>US</v>
      </c>
      <c r="C1992" s="3" t="str">
        <f ca="1">IFERROR(__xludf.DUMMYFUNCTION("""COMPUTED_VALUE"""),"Westbrook University ")</f>
        <v xml:space="preserve">Westbrook University </v>
      </c>
      <c r="D1992" s="4" t="str">
        <f ca="1">IFERROR(__xludf.DUMMYFUNCTION("""COMPUTED_VALUE"""),"http://www.westbrooku.edu/")</f>
        <v>http://www.westbrooku.edu/</v>
      </c>
      <c r="G1992" s="2" t="str">
        <f t="shared" ca="1" si="0"/>
        <v xml:space="preserve">Westbrook University </v>
      </c>
      <c r="H1992" s="3" t="str">
        <f t="shared" ca="1" si="1"/>
        <v xml:space="preserve">Westbrook University </v>
      </c>
      <c r="I1992" s="3" t="str">
        <f t="shared" ca="1" si="2"/>
        <v>'Westbrook University ',</v>
      </c>
    </row>
    <row r="1993" spans="1:9">
      <c r="A1993" s="1" t="s">
        <v>1991</v>
      </c>
      <c r="B1993" s="3" t="str">
        <f ca="1">IFERROR(__xludf.DUMMYFUNCTION("SPLIT(A1993,"","")"),"US")</f>
        <v>US</v>
      </c>
      <c r="C1993" s="3" t="str">
        <f ca="1">IFERROR(__xludf.DUMMYFUNCTION("""COMPUTED_VALUE"""),"West Chester University of Pennsylvania")</f>
        <v>West Chester University of Pennsylvania</v>
      </c>
      <c r="D1993" s="4" t="str">
        <f ca="1">IFERROR(__xludf.DUMMYFUNCTION("""COMPUTED_VALUE"""),"http://www.wcupa.edu/")</f>
        <v>http://www.wcupa.edu/</v>
      </c>
      <c r="G1993" s="2" t="str">
        <f t="shared" ca="1" si="0"/>
        <v>West Chester University of Pennsylvania</v>
      </c>
      <c r="H1993" s="3" t="str">
        <f t="shared" ca="1" si="1"/>
        <v>West Chester University of Pennsylvania</v>
      </c>
      <c r="I1993" s="3" t="str">
        <f t="shared" ca="1" si="2"/>
        <v>'West Chester University of Pennsylvania',</v>
      </c>
    </row>
    <row r="1994" spans="1:9">
      <c r="A1994" s="1" t="s">
        <v>1992</v>
      </c>
      <c r="B1994" s="3" t="str">
        <f ca="1">IFERROR(__xludf.DUMMYFUNCTION("SPLIT(A1994,"","")"),"US")</f>
        <v>US</v>
      </c>
      <c r="C1994" s="3" t="str">
        <f ca="1">IFERROR(__xludf.DUMMYFUNCTION("""COMPUTED_VALUE"""),"West Coast University")</f>
        <v>West Coast University</v>
      </c>
      <c r="D1994" s="4" t="str">
        <f ca="1">IFERROR(__xludf.DUMMYFUNCTION("""COMPUTED_VALUE"""),"http://www.westcoastuniversity.com/")</f>
        <v>http://www.westcoastuniversity.com/</v>
      </c>
      <c r="G1994" s="2" t="str">
        <f t="shared" ca="1" si="0"/>
        <v>West Coast University</v>
      </c>
      <c r="H1994" s="3" t="str">
        <f t="shared" ca="1" si="1"/>
        <v>West Coast University</v>
      </c>
      <c r="I1994" s="3" t="str">
        <f t="shared" ca="1" si="2"/>
        <v>'West Coast University',</v>
      </c>
    </row>
    <row r="1995" spans="1:9">
      <c r="A1995" s="1" t="s">
        <v>1993</v>
      </c>
      <c r="B1995" s="3" t="str">
        <f ca="1">IFERROR(__xludf.DUMMYFUNCTION("SPLIT(A1995,"","")"),"US")</f>
        <v>US</v>
      </c>
      <c r="C1995" s="3" t="str">
        <f ca="1">IFERROR(__xludf.DUMMYFUNCTION("""COMPUTED_VALUE"""),"Western Baptist College")</f>
        <v>Western Baptist College</v>
      </c>
      <c r="D1995" s="4" t="str">
        <f ca="1">IFERROR(__xludf.DUMMYFUNCTION("""COMPUTED_VALUE"""),"http://www.wbc.edu/")</f>
        <v>http://www.wbc.edu/</v>
      </c>
      <c r="G1995" s="2" t="str">
        <f t="shared" ca="1" si="0"/>
        <v>Western Baptist College</v>
      </c>
      <c r="H1995" s="3" t="str">
        <f t="shared" ca="1" si="1"/>
        <v>Western Baptist College</v>
      </c>
      <c r="I1995" s="3" t="str">
        <f t="shared" ca="1" si="2"/>
        <v>'Western Baptist College',</v>
      </c>
    </row>
    <row r="1996" spans="1:9">
      <c r="A1996" s="1" t="s">
        <v>1994</v>
      </c>
      <c r="B1996" s="3" t="str">
        <f ca="1">IFERROR(__xludf.DUMMYFUNCTION("SPLIT(A1996,"","")"),"US")</f>
        <v>US</v>
      </c>
      <c r="C1996" s="3" t="str">
        <f ca="1">IFERROR(__xludf.DUMMYFUNCTION("""COMPUTED_VALUE"""),"Western Bible College")</f>
        <v>Western Bible College</v>
      </c>
      <c r="D1996" s="4" t="str">
        <f ca="1">IFERROR(__xludf.DUMMYFUNCTION("""COMPUTED_VALUE"""),"http://www.westernbible.edu/")</f>
        <v>http://www.westernbible.edu/</v>
      </c>
      <c r="G1996" s="2" t="str">
        <f t="shared" ca="1" si="0"/>
        <v>Western Bible College</v>
      </c>
      <c r="H1996" s="3" t="str">
        <f t="shared" ca="1" si="1"/>
        <v>Western Bible College</v>
      </c>
      <c r="I1996" s="3" t="str">
        <f t="shared" ca="1" si="2"/>
        <v>'Western Bible College',</v>
      </c>
    </row>
    <row r="1997" spans="1:9">
      <c r="A1997" s="1" t="s">
        <v>1995</v>
      </c>
      <c r="B1997" s="3" t="str">
        <f ca="1">IFERROR(__xludf.DUMMYFUNCTION("SPLIT(A1997,"","")"),"US")</f>
        <v>US</v>
      </c>
      <c r="C1997" s="3" t="str">
        <f ca="1">IFERROR(__xludf.DUMMYFUNCTION("""COMPUTED_VALUE"""),"Western Carolina University")</f>
        <v>Western Carolina University</v>
      </c>
      <c r="D1997" s="4" t="str">
        <f ca="1">IFERROR(__xludf.DUMMYFUNCTION("""COMPUTED_VALUE"""),"http://www.wcu.edu/")</f>
        <v>http://www.wcu.edu/</v>
      </c>
      <c r="G1997" s="2" t="str">
        <f t="shared" ca="1" si="0"/>
        <v>Western Carolina University</v>
      </c>
      <c r="H1997" s="3" t="str">
        <f t="shared" ca="1" si="1"/>
        <v>Western Carolina University</v>
      </c>
      <c r="I1997" s="3" t="str">
        <f t="shared" ca="1" si="2"/>
        <v>'Western Carolina University',</v>
      </c>
    </row>
    <row r="1998" spans="1:9">
      <c r="A1998" s="1" t="s">
        <v>1996</v>
      </c>
      <c r="B1998" s="3" t="str">
        <f ca="1">IFERROR(__xludf.DUMMYFUNCTION("SPLIT(A1998,"","")"),"US")</f>
        <v>US</v>
      </c>
      <c r="C1998" s="3" t="str">
        <f ca="1">IFERROR(__xludf.DUMMYFUNCTION("""COMPUTED_VALUE"""),"Western Connecticut State University")</f>
        <v>Western Connecticut State University</v>
      </c>
      <c r="D1998" s="4" t="str">
        <f ca="1">IFERROR(__xludf.DUMMYFUNCTION("""COMPUTED_VALUE"""),"http://www.wcsu.ctstateu.edu/")</f>
        <v>http://www.wcsu.ctstateu.edu/</v>
      </c>
      <c r="G1998" s="2" t="str">
        <f t="shared" ca="1" si="0"/>
        <v>Western Connecticut State University</v>
      </c>
      <c r="H1998" s="3" t="str">
        <f t="shared" ca="1" si="1"/>
        <v>Western Connecticut State University</v>
      </c>
      <c r="I1998" s="3" t="str">
        <f t="shared" ca="1" si="2"/>
        <v>'Western Connecticut State University',</v>
      </c>
    </row>
    <row r="1999" spans="1:9">
      <c r="A1999" s="1" t="s">
        <v>1997</v>
      </c>
      <c r="B1999" s="3" t="str">
        <f ca="1">IFERROR(__xludf.DUMMYFUNCTION("SPLIT(A1999,"","")"),"US")</f>
        <v>US</v>
      </c>
      <c r="C1999" s="3" t="str">
        <f ca="1">IFERROR(__xludf.DUMMYFUNCTION("""COMPUTED_VALUE"""),"Western Governors University")</f>
        <v>Western Governors University</v>
      </c>
      <c r="D1999" s="4" t="str">
        <f ca="1">IFERROR(__xludf.DUMMYFUNCTION("""COMPUTED_VALUE"""),"http://www.wgu.edu/")</f>
        <v>http://www.wgu.edu/</v>
      </c>
      <c r="G1999" s="2" t="str">
        <f t="shared" ca="1" si="0"/>
        <v>Western Governors University</v>
      </c>
      <c r="H1999" s="3" t="str">
        <f t="shared" ca="1" si="1"/>
        <v>Western Governors University</v>
      </c>
      <c r="I1999" s="3" t="str">
        <f t="shared" ca="1" si="2"/>
        <v>'Western Governors University',</v>
      </c>
    </row>
    <row r="2000" spans="1:9">
      <c r="A2000" s="1" t="s">
        <v>1998</v>
      </c>
      <c r="B2000" s="3" t="str">
        <f ca="1">IFERROR(__xludf.DUMMYFUNCTION("SPLIT(A2000,"","")"),"US")</f>
        <v>US</v>
      </c>
      <c r="C2000" s="3" t="str">
        <f ca="1">IFERROR(__xludf.DUMMYFUNCTION("""COMPUTED_VALUE"""),"Western Illinois University")</f>
        <v>Western Illinois University</v>
      </c>
      <c r="D2000" s="4" t="str">
        <f ca="1">IFERROR(__xludf.DUMMYFUNCTION("""COMPUTED_VALUE"""),"http://www.wiu.edu/")</f>
        <v>http://www.wiu.edu/</v>
      </c>
      <c r="G2000" s="2" t="str">
        <f t="shared" ca="1" si="0"/>
        <v>Western Illinois University</v>
      </c>
      <c r="H2000" s="3" t="str">
        <f t="shared" ca="1" si="1"/>
        <v>Western Illinois University</v>
      </c>
      <c r="I2000" s="3" t="str">
        <f t="shared" ca="1" si="2"/>
        <v>'Western Illinois University',</v>
      </c>
    </row>
    <row r="2001" spans="1:9">
      <c r="A2001" s="1" t="s">
        <v>1999</v>
      </c>
      <c r="B2001" s="3" t="str">
        <f ca="1">IFERROR(__xludf.DUMMYFUNCTION("SPLIT(A2001,"","")"),"US")</f>
        <v>US</v>
      </c>
      <c r="C2001" s="3" t="str">
        <f ca="1">IFERROR(__xludf.DUMMYFUNCTION("""COMPUTED_VALUE"""),"Western International University")</f>
        <v>Western International University</v>
      </c>
      <c r="D2001" s="4" t="str">
        <f ca="1">IFERROR(__xludf.DUMMYFUNCTION("""COMPUTED_VALUE"""),"http://www.west.edu/")</f>
        <v>http://www.west.edu/</v>
      </c>
      <c r="G2001" s="2" t="str">
        <f t="shared" ca="1" si="0"/>
        <v>Western International University</v>
      </c>
      <c r="H2001" s="3" t="str">
        <f t="shared" ca="1" si="1"/>
        <v>Western International University</v>
      </c>
      <c r="I2001" s="3" t="str">
        <f t="shared" ca="1" si="2"/>
        <v>'Western International University',</v>
      </c>
    </row>
    <row r="2002" spans="1:9">
      <c r="A2002" s="1" t="s">
        <v>2000</v>
      </c>
      <c r="B2002" s="3" t="str">
        <f ca="1">IFERROR(__xludf.DUMMYFUNCTION("SPLIT(A2002,"","")"),"US")</f>
        <v>US</v>
      </c>
      <c r="C2002" s="3" t="str">
        <f ca="1">IFERROR(__xludf.DUMMYFUNCTION("""COMPUTED_VALUE"""),"Western Kentucky University")</f>
        <v>Western Kentucky University</v>
      </c>
      <c r="D2002" s="4" t="str">
        <f ca="1">IFERROR(__xludf.DUMMYFUNCTION("""COMPUTED_VALUE"""),"http://www.wku.edu/")</f>
        <v>http://www.wku.edu/</v>
      </c>
      <c r="G2002" s="2" t="str">
        <f t="shared" ca="1" si="0"/>
        <v>Western Kentucky University</v>
      </c>
      <c r="H2002" s="3" t="str">
        <f t="shared" ca="1" si="1"/>
        <v>Western Kentucky University</v>
      </c>
      <c r="I2002" s="3" t="str">
        <f t="shared" ca="1" si="2"/>
        <v>'Western Kentucky University',</v>
      </c>
    </row>
    <row r="2003" spans="1:9">
      <c r="A2003" s="1" t="s">
        <v>2001</v>
      </c>
      <c r="B2003" s="3" t="str">
        <f ca="1">IFERROR(__xludf.DUMMYFUNCTION("SPLIT(A2003,"","")"),"US")</f>
        <v>US</v>
      </c>
      <c r="C2003" s="3" t="str">
        <f ca="1">IFERROR(__xludf.DUMMYFUNCTION("""COMPUTED_VALUE"""),"Western Maryland College")</f>
        <v>Western Maryland College</v>
      </c>
      <c r="D2003" s="4" t="str">
        <f ca="1">IFERROR(__xludf.DUMMYFUNCTION("""COMPUTED_VALUE"""),"http://www.wmdc.edu/")</f>
        <v>http://www.wmdc.edu/</v>
      </c>
      <c r="G2003" s="2" t="str">
        <f t="shared" ca="1" si="0"/>
        <v>Western Maryland College</v>
      </c>
      <c r="H2003" s="3" t="str">
        <f t="shared" ca="1" si="1"/>
        <v>Western Maryland College</v>
      </c>
      <c r="I2003" s="3" t="str">
        <f t="shared" ca="1" si="2"/>
        <v>'Western Maryland College',</v>
      </c>
    </row>
    <row r="2004" spans="1:9">
      <c r="A2004" s="1" t="s">
        <v>2002</v>
      </c>
      <c r="B2004" s="3" t="str">
        <f ca="1">IFERROR(__xludf.DUMMYFUNCTION("SPLIT(A2004,"","")"),"US")</f>
        <v>US</v>
      </c>
      <c r="C2004" s="3" t="str">
        <f ca="1">IFERROR(__xludf.DUMMYFUNCTION("""COMPUTED_VALUE"""),"Western Michigan University")</f>
        <v>Western Michigan University</v>
      </c>
      <c r="D2004" s="4" t="str">
        <f ca="1">IFERROR(__xludf.DUMMYFUNCTION("""COMPUTED_VALUE"""),"http://www.wmich.edu/")</f>
        <v>http://www.wmich.edu/</v>
      </c>
      <c r="G2004" s="2" t="str">
        <f t="shared" ca="1" si="0"/>
        <v>Western Michigan University</v>
      </c>
      <c r="H2004" s="3" t="str">
        <f t="shared" ca="1" si="1"/>
        <v>Western Michigan University</v>
      </c>
      <c r="I2004" s="3" t="str">
        <f t="shared" ca="1" si="2"/>
        <v>'Western Michigan University',</v>
      </c>
    </row>
    <row r="2005" spans="1:9">
      <c r="A2005" s="1" t="s">
        <v>2003</v>
      </c>
      <c r="B2005" s="3" t="str">
        <f ca="1">IFERROR(__xludf.DUMMYFUNCTION("SPLIT(A2005,"","")"),"US")</f>
        <v>US</v>
      </c>
      <c r="C2005" s="3" t="str">
        <f ca="1">IFERROR(__xludf.DUMMYFUNCTION("""COMPUTED_VALUE"""),"Western New England College")</f>
        <v>Western New England College</v>
      </c>
      <c r="D2005" s="4" t="str">
        <f ca="1">IFERROR(__xludf.DUMMYFUNCTION("""COMPUTED_VALUE"""),"http://www.wnec.edu/")</f>
        <v>http://www.wnec.edu/</v>
      </c>
      <c r="G2005" s="2" t="str">
        <f t="shared" ca="1" si="0"/>
        <v>Western New England College</v>
      </c>
      <c r="H2005" s="3" t="str">
        <f t="shared" ca="1" si="1"/>
        <v>Western New England College</v>
      </c>
      <c r="I2005" s="3" t="str">
        <f t="shared" ca="1" si="2"/>
        <v>'Western New England College',</v>
      </c>
    </row>
    <row r="2006" spans="1:9">
      <c r="A2006" s="1" t="s">
        <v>2004</v>
      </c>
      <c r="B2006" s="3" t="str">
        <f ca="1">IFERROR(__xludf.DUMMYFUNCTION("SPLIT(A2006,"","")"),"US")</f>
        <v>US</v>
      </c>
      <c r="C2006" s="3" t="str">
        <f ca="1">IFERROR(__xludf.DUMMYFUNCTION("""COMPUTED_VALUE"""),"Western New Mexico University")</f>
        <v>Western New Mexico University</v>
      </c>
      <c r="D2006" s="4" t="str">
        <f ca="1">IFERROR(__xludf.DUMMYFUNCTION("""COMPUTED_VALUE"""),"http://www.wnmu.edu/")</f>
        <v>http://www.wnmu.edu/</v>
      </c>
      <c r="G2006" s="2" t="str">
        <f t="shared" ca="1" si="0"/>
        <v>Western New Mexico University</v>
      </c>
      <c r="H2006" s="3" t="str">
        <f t="shared" ca="1" si="1"/>
        <v>Western New Mexico University</v>
      </c>
      <c r="I2006" s="3" t="str">
        <f t="shared" ca="1" si="2"/>
        <v>'Western New Mexico University',</v>
      </c>
    </row>
    <row r="2007" spans="1:9">
      <c r="A2007" s="1" t="s">
        <v>2005</v>
      </c>
      <c r="B2007" s="3" t="str">
        <f ca="1">IFERROR(__xludf.DUMMYFUNCTION("SPLIT(A2007,"","")"),"US")</f>
        <v>US</v>
      </c>
      <c r="C2007" s="3" t="str">
        <f ca="1">IFERROR(__xludf.DUMMYFUNCTION("""COMPUTED_VALUE"""),"Western Oregon University")</f>
        <v>Western Oregon University</v>
      </c>
      <c r="D2007" s="4" t="str">
        <f ca="1">IFERROR(__xludf.DUMMYFUNCTION("""COMPUTED_VALUE"""),"http://www.wou.edu/")</f>
        <v>http://www.wou.edu/</v>
      </c>
      <c r="G2007" s="2" t="str">
        <f t="shared" ca="1" si="0"/>
        <v>Western Oregon University</v>
      </c>
      <c r="H2007" s="3" t="str">
        <f t="shared" ca="1" si="1"/>
        <v>Western Oregon University</v>
      </c>
      <c r="I2007" s="3" t="str">
        <f t="shared" ca="1" si="2"/>
        <v>'Western Oregon University',</v>
      </c>
    </row>
    <row r="2008" spans="1:9">
      <c r="A2008" s="1" t="s">
        <v>2006</v>
      </c>
      <c r="B2008" s="3" t="str">
        <f ca="1">IFERROR(__xludf.DUMMYFUNCTION("SPLIT(A2008,"","")"),"US")</f>
        <v>US</v>
      </c>
      <c r="C2008" s="3" t="str">
        <f ca="1">IFERROR(__xludf.DUMMYFUNCTION("""COMPUTED_VALUE"""),"Western State College")</f>
        <v>Western State College</v>
      </c>
      <c r="D2008" s="4" t="str">
        <f ca="1">IFERROR(__xludf.DUMMYFUNCTION("""COMPUTED_VALUE"""),"http://www.western.edu/")</f>
        <v>http://www.western.edu/</v>
      </c>
      <c r="G2008" s="2" t="str">
        <f t="shared" ca="1" si="0"/>
        <v>Western State College</v>
      </c>
      <c r="H2008" s="3" t="str">
        <f t="shared" ca="1" si="1"/>
        <v>Western State College</v>
      </c>
      <c r="I2008" s="3" t="str">
        <f t="shared" ca="1" si="2"/>
        <v>'Western State College',</v>
      </c>
    </row>
    <row r="2009" spans="1:9">
      <c r="A2009" s="1" t="s">
        <v>2007</v>
      </c>
      <c r="B2009" s="3" t="str">
        <f ca="1">IFERROR(__xludf.DUMMYFUNCTION("SPLIT(A2009,"","")"),"US")</f>
        <v>US</v>
      </c>
      <c r="C2009" s="3" t="str">
        <f ca="1">IFERROR(__xludf.DUMMYFUNCTION("""COMPUTED_VALUE"""),"Western States Chiropractic College")</f>
        <v>Western States Chiropractic College</v>
      </c>
      <c r="D2009" s="4" t="str">
        <f ca="1">IFERROR(__xludf.DUMMYFUNCTION("""COMPUTED_VALUE"""),"http://www.wschiro.edu/")</f>
        <v>http://www.wschiro.edu/</v>
      </c>
      <c r="G2009" s="2" t="str">
        <f t="shared" ca="1" si="0"/>
        <v>Western States Chiropractic College</v>
      </c>
      <c r="H2009" s="3" t="str">
        <f t="shared" ca="1" si="1"/>
        <v>Western States Chiropractic College</v>
      </c>
      <c r="I2009" s="3" t="str">
        <f t="shared" ca="1" si="2"/>
        <v>'Western States Chiropractic College',</v>
      </c>
    </row>
    <row r="2010" spans="1:9">
      <c r="A2010" s="1" t="s">
        <v>2008</v>
      </c>
      <c r="B2010" s="3" t="str">
        <f ca="1">IFERROR(__xludf.DUMMYFUNCTION("SPLIT(A2010,"","")"),"US")</f>
        <v>US</v>
      </c>
      <c r="C2010" s="3" t="str">
        <f ca="1">IFERROR(__xludf.DUMMYFUNCTION("""COMPUTED_VALUE"""),"Western State University College of Law")</f>
        <v>Western State University College of Law</v>
      </c>
      <c r="D2010" s="4" t="str">
        <f ca="1">IFERROR(__xludf.DUMMYFUNCTION("""COMPUTED_VALUE"""),"http://www.wsulaw.edu/")</f>
        <v>http://www.wsulaw.edu/</v>
      </c>
      <c r="G2010" s="2" t="str">
        <f t="shared" ca="1" si="0"/>
        <v>Western State University College of Law</v>
      </c>
      <c r="H2010" s="3" t="str">
        <f t="shared" ca="1" si="1"/>
        <v>Western State University College of Law</v>
      </c>
      <c r="I2010" s="3" t="str">
        <f t="shared" ca="1" si="2"/>
        <v>'Western State University College of Law',</v>
      </c>
    </row>
    <row r="2011" spans="1:9">
      <c r="A2011" s="1" t="s">
        <v>2009</v>
      </c>
      <c r="B2011" s="3" t="str">
        <f ca="1">IFERROR(__xludf.DUMMYFUNCTION("SPLIT(A2011,"","")"),"US")</f>
        <v>US</v>
      </c>
      <c r="C2011" s="3" t="str">
        <f ca="1">IFERROR(__xludf.DUMMYFUNCTION("""COMPUTED_VALUE"""),"Western State University College of Law - Orange County")</f>
        <v>Western State University College of Law - Orange County</v>
      </c>
      <c r="D2011" s="4" t="str">
        <f ca="1">IFERROR(__xludf.DUMMYFUNCTION("""COMPUTED_VALUE"""),"http://www.wsulaw.edu/")</f>
        <v>http://www.wsulaw.edu/</v>
      </c>
      <c r="G2011" s="2" t="str">
        <f t="shared" ca="1" si="0"/>
        <v>Western State University College of Law - Orange County</v>
      </c>
      <c r="H2011" s="3" t="str">
        <f t="shared" ca="1" si="1"/>
        <v>Western State University College of Law - Orange County</v>
      </c>
      <c r="I2011" s="3" t="str">
        <f t="shared" ca="1" si="2"/>
        <v>'Western State University College of Law - Orange County',</v>
      </c>
    </row>
    <row r="2012" spans="1:9">
      <c r="A2012" s="1" t="s">
        <v>2010</v>
      </c>
      <c r="B2012" s="3" t="str">
        <f ca="1">IFERROR(__xludf.DUMMYFUNCTION("SPLIT(A2012,"","")"),"US")</f>
        <v>US</v>
      </c>
      <c r="C2012" s="3" t="str">
        <f ca="1">IFERROR(__xludf.DUMMYFUNCTION("""COMPUTED_VALUE"""),"Western Washington University")</f>
        <v>Western Washington University</v>
      </c>
      <c r="D2012" s="4" t="str">
        <f ca="1">IFERROR(__xludf.DUMMYFUNCTION("""COMPUTED_VALUE"""),"http://www.wwu.edu/")</f>
        <v>http://www.wwu.edu/</v>
      </c>
      <c r="G2012" s="2" t="str">
        <f t="shared" ca="1" si="0"/>
        <v>Western Washington University</v>
      </c>
      <c r="H2012" s="3" t="str">
        <f t="shared" ca="1" si="1"/>
        <v>Western Washington University</v>
      </c>
      <c r="I2012" s="3" t="str">
        <f t="shared" ca="1" si="2"/>
        <v>'Western Washington University',</v>
      </c>
    </row>
    <row r="2013" spans="1:9">
      <c r="A2013" s="1" t="s">
        <v>2011</v>
      </c>
      <c r="B2013" s="3" t="str">
        <f ca="1">IFERROR(__xludf.DUMMYFUNCTION("SPLIT(A2013,"","")"),"US")</f>
        <v>US</v>
      </c>
      <c r="C2013" s="3" t="str">
        <f ca="1">IFERROR(__xludf.DUMMYFUNCTION("""COMPUTED_VALUE"""),"Westfield State College")</f>
        <v>Westfield State College</v>
      </c>
      <c r="D2013" s="4" t="str">
        <f ca="1">IFERROR(__xludf.DUMMYFUNCTION("""COMPUTED_VALUE"""),"http://www.wsc.mass.edu/")</f>
        <v>http://www.wsc.mass.edu/</v>
      </c>
      <c r="G2013" s="2" t="str">
        <f t="shared" ca="1" si="0"/>
        <v>Westfield State College</v>
      </c>
      <c r="H2013" s="3" t="str">
        <f t="shared" ca="1" si="1"/>
        <v>Westfield State College</v>
      </c>
      <c r="I2013" s="3" t="str">
        <f t="shared" ca="1" si="2"/>
        <v>'Westfield State College',</v>
      </c>
    </row>
    <row r="2014" spans="1:9">
      <c r="A2014" s="1" t="s">
        <v>2012</v>
      </c>
      <c r="B2014" s="3" t="str">
        <f ca="1">IFERROR(__xludf.DUMMYFUNCTION("SPLIT(A2014,"","")"),"US")</f>
        <v>US</v>
      </c>
      <c r="C2014" s="3" t="str">
        <f ca="1">IFERROR(__xludf.DUMMYFUNCTION("""COMPUTED_VALUE"""),"West Liberty State College")</f>
        <v>West Liberty State College</v>
      </c>
      <c r="D2014" s="4" t="str">
        <f ca="1">IFERROR(__xludf.DUMMYFUNCTION("""COMPUTED_VALUE"""),"http://www.wlsc.wvnet.edu/")</f>
        <v>http://www.wlsc.wvnet.edu/</v>
      </c>
      <c r="G2014" s="2" t="str">
        <f t="shared" ca="1" si="0"/>
        <v>West Liberty State College</v>
      </c>
      <c r="H2014" s="3" t="str">
        <f t="shared" ca="1" si="1"/>
        <v>West Liberty State College</v>
      </c>
      <c r="I2014" s="3" t="str">
        <f t="shared" ca="1" si="2"/>
        <v>'West Liberty State College',</v>
      </c>
    </row>
    <row r="2015" spans="1:9">
      <c r="A2015" s="1" t="s">
        <v>2013</v>
      </c>
      <c r="B2015" s="3" t="str">
        <f ca="1">IFERROR(__xludf.DUMMYFUNCTION("SPLIT(A2015,"","")"),"US")</f>
        <v>US</v>
      </c>
      <c r="C2015" s="3" t="str">
        <f ca="1">IFERROR(__xludf.DUMMYFUNCTION("""COMPUTED_VALUE"""),"Westminster College Fulton")</f>
        <v>Westminster College Fulton</v>
      </c>
      <c r="D2015" s="4" t="str">
        <f ca="1">IFERROR(__xludf.DUMMYFUNCTION("""COMPUTED_VALUE"""),"http://www.wcmo.edu/")</f>
        <v>http://www.wcmo.edu/</v>
      </c>
      <c r="G2015" s="2" t="str">
        <f t="shared" ca="1" si="0"/>
        <v>Westminster College Fulton</v>
      </c>
      <c r="H2015" s="3" t="str">
        <f t="shared" ca="1" si="1"/>
        <v>Westminster College Fulton</v>
      </c>
      <c r="I2015" s="3" t="str">
        <f t="shared" ca="1" si="2"/>
        <v>'Westminster College Fulton',</v>
      </c>
    </row>
    <row r="2016" spans="1:9">
      <c r="A2016" s="1" t="s">
        <v>2014</v>
      </c>
      <c r="B2016" s="3" t="str">
        <f ca="1">IFERROR(__xludf.DUMMYFUNCTION("SPLIT(A2016,"","")"),"US")</f>
        <v>US</v>
      </c>
      <c r="C2016" s="3" t="str">
        <f ca="1">IFERROR(__xludf.DUMMYFUNCTION("""COMPUTED_VALUE"""),"Westminster College New Wilmington")</f>
        <v>Westminster College New Wilmington</v>
      </c>
      <c r="D2016" s="4" t="str">
        <f ca="1">IFERROR(__xludf.DUMMYFUNCTION("""COMPUTED_VALUE"""),"http://www.westminster.edu/")</f>
        <v>http://www.westminster.edu/</v>
      </c>
      <c r="G2016" s="2" t="str">
        <f t="shared" ca="1" si="0"/>
        <v>Westminster College New Wilmington</v>
      </c>
      <c r="H2016" s="3" t="str">
        <f t="shared" ca="1" si="1"/>
        <v>Westminster College New Wilmington</v>
      </c>
      <c r="I2016" s="3" t="str">
        <f t="shared" ca="1" si="2"/>
        <v>'Westminster College New Wilmington',</v>
      </c>
    </row>
    <row r="2017" spans="1:9">
      <c r="A2017" s="1" t="s">
        <v>2015</v>
      </c>
      <c r="B2017" s="3" t="str">
        <f ca="1">IFERROR(__xludf.DUMMYFUNCTION("SPLIT(A2017,"","")"),"US")</f>
        <v>US</v>
      </c>
      <c r="C2017" s="3" t="str">
        <f ca="1">IFERROR(__xludf.DUMMYFUNCTION("""COMPUTED_VALUE"""),"Westminster College of Salt Lake City")</f>
        <v>Westminster College of Salt Lake City</v>
      </c>
      <c r="D2017" s="4" t="str">
        <f ca="1">IFERROR(__xludf.DUMMYFUNCTION("""COMPUTED_VALUE"""),"http://www.wcslc.edu/")</f>
        <v>http://www.wcslc.edu/</v>
      </c>
      <c r="G2017" s="2" t="str">
        <f t="shared" ca="1" si="0"/>
        <v>Westminster College of Salt Lake City</v>
      </c>
      <c r="H2017" s="3" t="str">
        <f t="shared" ca="1" si="1"/>
        <v>Westminster College of Salt Lake City</v>
      </c>
      <c r="I2017" s="3" t="str">
        <f t="shared" ca="1" si="2"/>
        <v>'Westminster College of Salt Lake City',</v>
      </c>
    </row>
    <row r="2018" spans="1:9">
      <c r="A2018" s="1" t="s">
        <v>2016</v>
      </c>
      <c r="B2018" s="3" t="str">
        <f ca="1">IFERROR(__xludf.DUMMYFUNCTION("SPLIT(A2018,"","")"),"US")</f>
        <v>US</v>
      </c>
      <c r="C2018" s="3" t="str">
        <f ca="1">IFERROR(__xludf.DUMMYFUNCTION("""COMPUTED_VALUE"""),"Westmont College")</f>
        <v>Westmont College</v>
      </c>
      <c r="D2018" s="4" t="str">
        <f ca="1">IFERROR(__xludf.DUMMYFUNCTION("""COMPUTED_VALUE"""),"http://www.westmont.edu/")</f>
        <v>http://www.westmont.edu/</v>
      </c>
      <c r="G2018" s="2" t="str">
        <f t="shared" ca="1" si="0"/>
        <v>Westmont College</v>
      </c>
      <c r="H2018" s="3" t="str">
        <f t="shared" ca="1" si="1"/>
        <v>Westmont College</v>
      </c>
      <c r="I2018" s="3" t="str">
        <f t="shared" ca="1" si="2"/>
        <v>'Westmont College',</v>
      </c>
    </row>
    <row r="2019" spans="1:9">
      <c r="A2019" s="1" t="s">
        <v>2017</v>
      </c>
      <c r="B2019" s="3" t="str">
        <f ca="1">IFERROR(__xludf.DUMMYFUNCTION("SPLIT(A2019,"","")"),"US")</f>
        <v>US</v>
      </c>
      <c r="C2019" s="3" t="str">
        <f ca="1">IFERROR(__xludf.DUMMYFUNCTION("""COMPUTED_VALUE"""),"West Suburban College of Nursing")</f>
        <v>West Suburban College of Nursing</v>
      </c>
      <c r="D2019" s="4" t="str">
        <f ca="1">IFERROR(__xludf.DUMMYFUNCTION("""COMPUTED_VALUE"""),"http://www.curf.edu/~wscasseyp/wscn.htm")</f>
        <v>http://www.curf.edu/~wscasseyp/wscn.htm</v>
      </c>
      <c r="G2019" s="2" t="str">
        <f t="shared" ca="1" si="0"/>
        <v>West Suburban College of Nursing</v>
      </c>
      <c r="H2019" s="3" t="str">
        <f t="shared" ca="1" si="1"/>
        <v>West Suburban College of Nursing</v>
      </c>
      <c r="I2019" s="3" t="str">
        <f t="shared" ca="1" si="2"/>
        <v>'West Suburban College of Nursing',</v>
      </c>
    </row>
    <row r="2020" spans="1:9">
      <c r="A2020" s="1" t="s">
        <v>2018</v>
      </c>
      <c r="B2020" s="3" t="str">
        <f ca="1">IFERROR(__xludf.DUMMYFUNCTION("SPLIT(A2020,"","")"),"US")</f>
        <v>US</v>
      </c>
      <c r="C2020" s="3" t="str">
        <f ca="1">IFERROR(__xludf.DUMMYFUNCTION("""COMPUTED_VALUE"""),"West Texas A&amp;M University")</f>
        <v>West Texas A&amp;M University</v>
      </c>
      <c r="D2020" s="4" t="str">
        <f ca="1">IFERROR(__xludf.DUMMYFUNCTION("""COMPUTED_VALUE"""),"http://www.wtamu.edu/")</f>
        <v>http://www.wtamu.edu/</v>
      </c>
      <c r="G2020" s="2" t="str">
        <f t="shared" ca="1" si="0"/>
        <v>West Texas A&amp;M University</v>
      </c>
      <c r="H2020" s="3" t="str">
        <f t="shared" ca="1" si="1"/>
        <v>West Texas A&amp;M University</v>
      </c>
      <c r="I2020" s="3" t="str">
        <f t="shared" ca="1" si="2"/>
        <v>'West Texas A&amp;M University',</v>
      </c>
    </row>
    <row r="2021" spans="1:9">
      <c r="A2021" s="1" t="s">
        <v>2019</v>
      </c>
      <c r="B2021" s="3" t="str">
        <f ca="1">IFERROR(__xludf.DUMMYFUNCTION("SPLIT(A2021,"","")"),"US")</f>
        <v>US</v>
      </c>
      <c r="C2021" s="3" t="str">
        <f ca="1">IFERROR(__xludf.DUMMYFUNCTION("""COMPUTED_VALUE"""),"West Virginia School of Osteopathic Medicine")</f>
        <v>West Virginia School of Osteopathic Medicine</v>
      </c>
      <c r="D2021" s="4" t="str">
        <f ca="1">IFERROR(__xludf.DUMMYFUNCTION("""COMPUTED_VALUE"""),"http://www.wvsom.edu/")</f>
        <v>http://www.wvsom.edu/</v>
      </c>
      <c r="G2021" s="2" t="str">
        <f t="shared" ca="1" si="0"/>
        <v>West Virginia School of Osteopathic Medicine</v>
      </c>
      <c r="H2021" s="3" t="str">
        <f t="shared" ca="1" si="1"/>
        <v>West Virginia School of Osteopathic Medicine</v>
      </c>
      <c r="I2021" s="3" t="str">
        <f t="shared" ca="1" si="2"/>
        <v>'West Virginia School of Osteopathic Medicine',</v>
      </c>
    </row>
    <row r="2022" spans="1:9">
      <c r="A2022" s="1" t="s">
        <v>2020</v>
      </c>
      <c r="B2022" s="3" t="str">
        <f ca="1">IFERROR(__xludf.DUMMYFUNCTION("SPLIT(A2022,"","")"),"US")</f>
        <v>US</v>
      </c>
      <c r="C2022" s="3" t="str">
        <f ca="1">IFERROR(__xludf.DUMMYFUNCTION("""COMPUTED_VALUE"""),"West Virginia State College")</f>
        <v>West Virginia State College</v>
      </c>
      <c r="D2022" s="4" t="str">
        <f ca="1">IFERROR(__xludf.DUMMYFUNCTION("""COMPUTED_VALUE"""),"http://www.wvsc.edu/")</f>
        <v>http://www.wvsc.edu/</v>
      </c>
      <c r="G2022" s="2" t="str">
        <f t="shared" ca="1" si="0"/>
        <v>West Virginia State College</v>
      </c>
      <c r="H2022" s="3" t="str">
        <f t="shared" ca="1" si="1"/>
        <v>West Virginia State College</v>
      </c>
      <c r="I2022" s="3" t="str">
        <f t="shared" ca="1" si="2"/>
        <v>'West Virginia State College',</v>
      </c>
    </row>
    <row r="2023" spans="1:9">
      <c r="A2023" s="1" t="s">
        <v>2021</v>
      </c>
      <c r="B2023" s="3" t="str">
        <f ca="1">IFERROR(__xludf.DUMMYFUNCTION("SPLIT(A2023,"","")"),"US")</f>
        <v>US</v>
      </c>
      <c r="C2023" s="3" t="str">
        <f ca="1">IFERROR(__xludf.DUMMYFUNCTION("""COMPUTED_VALUE"""),"West Virginia University")</f>
        <v>West Virginia University</v>
      </c>
      <c r="D2023" s="4" t="str">
        <f ca="1">IFERROR(__xludf.DUMMYFUNCTION("""COMPUTED_VALUE"""),"http://www.wvu.edu/")</f>
        <v>http://www.wvu.edu/</v>
      </c>
      <c r="G2023" s="2" t="str">
        <f t="shared" ca="1" si="0"/>
        <v>West Virginia University</v>
      </c>
      <c r="H2023" s="3" t="str">
        <f t="shared" ca="1" si="1"/>
        <v>West Virginia University</v>
      </c>
      <c r="I2023" s="3" t="str">
        <f t="shared" ca="1" si="2"/>
        <v>'West Virginia University',</v>
      </c>
    </row>
    <row r="2024" spans="1:9">
      <c r="A2024" s="1" t="s">
        <v>2022</v>
      </c>
      <c r="B2024" s="3" t="str">
        <f ca="1">IFERROR(__xludf.DUMMYFUNCTION("SPLIT(A2024,"","")"),"US")</f>
        <v>US</v>
      </c>
      <c r="C2024" s="3" t="str">
        <f ca="1">IFERROR(__xludf.DUMMYFUNCTION("""COMPUTED_VALUE"""),"West Virginia University Institute of Technology")</f>
        <v>West Virginia University Institute of Technology</v>
      </c>
      <c r="D2024" s="4" t="str">
        <f ca="1">IFERROR(__xludf.DUMMYFUNCTION("""COMPUTED_VALUE"""),"http://wvit.wvnet.edu/")</f>
        <v>http://wvit.wvnet.edu/</v>
      </c>
      <c r="G2024" s="2" t="str">
        <f t="shared" ca="1" si="0"/>
        <v>West Virginia University Institute of Technology</v>
      </c>
      <c r="H2024" s="3" t="str">
        <f t="shared" ca="1" si="1"/>
        <v>West Virginia University Institute of Technology</v>
      </c>
      <c r="I2024" s="3" t="str">
        <f t="shared" ca="1" si="2"/>
        <v>'West Virginia University Institute of Technology',</v>
      </c>
    </row>
    <row r="2025" spans="1:9">
      <c r="A2025" s="1" t="s">
        <v>2023</v>
      </c>
      <c r="B2025" s="3" t="str">
        <f ca="1">IFERROR(__xludf.DUMMYFUNCTION("SPLIT(A2025,"","")"),"US")</f>
        <v>US</v>
      </c>
      <c r="C2025" s="3" t="str">
        <f ca="1">IFERROR(__xludf.DUMMYFUNCTION("""COMPUTED_VALUE"""),"West Virginia Wesleyan College")</f>
        <v>West Virginia Wesleyan College</v>
      </c>
      <c r="D2025" s="4" t="str">
        <f ca="1">IFERROR(__xludf.DUMMYFUNCTION("""COMPUTED_VALUE"""),"http://www.wvwc.edu/")</f>
        <v>http://www.wvwc.edu/</v>
      </c>
      <c r="G2025" s="2" t="str">
        <f t="shared" ca="1" si="0"/>
        <v>West Virginia Wesleyan College</v>
      </c>
      <c r="H2025" s="3" t="str">
        <f t="shared" ca="1" si="1"/>
        <v>West Virginia Wesleyan College</v>
      </c>
      <c r="I2025" s="3" t="str">
        <f t="shared" ca="1" si="2"/>
        <v>'West Virginia Wesleyan College',</v>
      </c>
    </row>
    <row r="2026" spans="1:9">
      <c r="A2026" s="1" t="s">
        <v>2024</v>
      </c>
      <c r="B2026" s="3" t="str">
        <f ca="1">IFERROR(__xludf.DUMMYFUNCTION("SPLIT(A2026,"","")"),"US")</f>
        <v>US</v>
      </c>
      <c r="C2026" s="3" t="str">
        <f ca="1">IFERROR(__xludf.DUMMYFUNCTION("""COMPUTED_VALUE"""),"Westwood College")</f>
        <v>Westwood College</v>
      </c>
      <c r="D2026" s="4" t="str">
        <f ca="1">IFERROR(__xludf.DUMMYFUNCTION("""COMPUTED_VALUE"""),"http://www.westwood.edu/")</f>
        <v>http://www.westwood.edu/</v>
      </c>
      <c r="G2026" s="2" t="str">
        <f t="shared" ca="1" si="0"/>
        <v>Westwood College</v>
      </c>
      <c r="H2026" s="3" t="str">
        <f t="shared" ca="1" si="1"/>
        <v>Westwood College</v>
      </c>
      <c r="I2026" s="3" t="str">
        <f t="shared" ca="1" si="2"/>
        <v>'Westwood College',</v>
      </c>
    </row>
    <row r="2027" spans="1:9">
      <c r="A2027" s="1" t="s">
        <v>2025</v>
      </c>
      <c r="B2027" s="3" t="str">
        <f ca="1">IFERROR(__xludf.DUMMYFUNCTION("SPLIT(A2027,"","")"),"US")</f>
        <v>US</v>
      </c>
      <c r="C2027" s="3" t="str">
        <f ca="1">IFERROR(__xludf.DUMMYFUNCTION("""COMPUTED_VALUE"""),"Wheaton College Massachusetts")</f>
        <v>Wheaton College Massachusetts</v>
      </c>
      <c r="D2027" s="4" t="str">
        <f ca="1">IFERROR(__xludf.DUMMYFUNCTION("""COMPUTED_VALUE"""),"http://www.wheatonma.edu/")</f>
        <v>http://www.wheatonma.edu/</v>
      </c>
      <c r="G2027" s="2" t="str">
        <f t="shared" ca="1" si="0"/>
        <v>Wheaton College Massachusetts</v>
      </c>
      <c r="H2027" s="3" t="str">
        <f t="shared" ca="1" si="1"/>
        <v>Wheaton College Massachusetts</v>
      </c>
      <c r="I2027" s="3" t="str">
        <f t="shared" ca="1" si="2"/>
        <v>'Wheaton College Massachusetts',</v>
      </c>
    </row>
    <row r="2028" spans="1:9">
      <c r="A2028" s="1" t="s">
        <v>2026</v>
      </c>
      <c r="B2028" s="3" t="str">
        <f ca="1">IFERROR(__xludf.DUMMYFUNCTION("SPLIT(A2028,"","")"),"US")</f>
        <v>US</v>
      </c>
      <c r="C2028" s="3" t="str">
        <f ca="1">IFERROR(__xludf.DUMMYFUNCTION("""COMPUTED_VALUE"""),"Wheeling Jesuit University")</f>
        <v>Wheeling Jesuit University</v>
      </c>
      <c r="D2028" s="4" t="str">
        <f ca="1">IFERROR(__xludf.DUMMYFUNCTION("""COMPUTED_VALUE"""),"http://www.wju.edu/")</f>
        <v>http://www.wju.edu/</v>
      </c>
      <c r="G2028" s="2" t="str">
        <f t="shared" ca="1" si="0"/>
        <v>Wheeling Jesuit University</v>
      </c>
      <c r="H2028" s="3" t="str">
        <f t="shared" ca="1" si="1"/>
        <v>Wheeling Jesuit University</v>
      </c>
      <c r="I2028" s="3" t="str">
        <f t="shared" ca="1" si="2"/>
        <v>'Wheeling Jesuit University',</v>
      </c>
    </row>
    <row r="2029" spans="1:9">
      <c r="A2029" s="1" t="s">
        <v>2027</v>
      </c>
      <c r="B2029" s="3" t="str">
        <f ca="1">IFERROR(__xludf.DUMMYFUNCTION("SPLIT(A2029,"","")"),"US")</f>
        <v>US</v>
      </c>
      <c r="C2029" s="3" t="str">
        <f ca="1">IFERROR(__xludf.DUMMYFUNCTION("""COMPUTED_VALUE"""),"Wheelock College")</f>
        <v>Wheelock College</v>
      </c>
      <c r="D2029" s="4" t="str">
        <f ca="1">IFERROR(__xludf.DUMMYFUNCTION("""COMPUTED_VALUE"""),"http://www.wheelock.edu/")</f>
        <v>http://www.wheelock.edu/</v>
      </c>
      <c r="G2029" s="2" t="str">
        <f t="shared" ca="1" si="0"/>
        <v>Wheelock College</v>
      </c>
      <c r="H2029" s="3" t="str">
        <f t="shared" ca="1" si="1"/>
        <v>Wheelock College</v>
      </c>
      <c r="I2029" s="3" t="str">
        <f t="shared" ca="1" si="2"/>
        <v>'Wheelock College',</v>
      </c>
    </row>
    <row r="2030" spans="1:9">
      <c r="A2030" s="1" t="s">
        <v>2028</v>
      </c>
      <c r="B2030" s="3" t="str">
        <f ca="1">IFERROR(__xludf.DUMMYFUNCTION("SPLIT(A2030,"","")"),"US")</f>
        <v>US</v>
      </c>
      <c r="C2030" s="3" t="str">
        <f ca="1">IFERROR(__xludf.DUMMYFUNCTION("""COMPUTED_VALUE"""),"Whitman College")</f>
        <v>Whitman College</v>
      </c>
      <c r="D2030" s="4" t="str">
        <f ca="1">IFERROR(__xludf.DUMMYFUNCTION("""COMPUTED_VALUE"""),"http://www.whitman.edu/")</f>
        <v>http://www.whitman.edu/</v>
      </c>
      <c r="G2030" s="2" t="str">
        <f t="shared" ca="1" si="0"/>
        <v>Whitman College</v>
      </c>
      <c r="H2030" s="3" t="str">
        <f t="shared" ca="1" si="1"/>
        <v>Whitman College</v>
      </c>
      <c r="I2030" s="3" t="str">
        <f t="shared" ca="1" si="2"/>
        <v>'Whitman College',</v>
      </c>
    </row>
    <row r="2031" spans="1:9">
      <c r="A2031" s="1" t="s">
        <v>2029</v>
      </c>
      <c r="B2031" s="3" t="str">
        <f ca="1">IFERROR(__xludf.DUMMYFUNCTION("SPLIT(A2031,"","")"),"US")</f>
        <v>US</v>
      </c>
      <c r="C2031" s="3" t="str">
        <f ca="1">IFERROR(__xludf.DUMMYFUNCTION("""COMPUTED_VALUE"""),"Whittier College")</f>
        <v>Whittier College</v>
      </c>
      <c r="D2031" s="4" t="str">
        <f ca="1">IFERROR(__xludf.DUMMYFUNCTION("""COMPUTED_VALUE"""),"http://www.whittier.edu/")</f>
        <v>http://www.whittier.edu/</v>
      </c>
      <c r="G2031" s="2" t="str">
        <f t="shared" ca="1" si="0"/>
        <v>Whittier College</v>
      </c>
      <c r="H2031" s="3" t="str">
        <f t="shared" ca="1" si="1"/>
        <v>Whittier College</v>
      </c>
      <c r="I2031" s="3" t="str">
        <f t="shared" ca="1" si="2"/>
        <v>'Whittier College',</v>
      </c>
    </row>
    <row r="2032" spans="1:9">
      <c r="A2032" s="1" t="s">
        <v>2030</v>
      </c>
      <c r="B2032" s="3" t="str">
        <f ca="1">IFERROR(__xludf.DUMMYFUNCTION("SPLIT(A2032,"","")"),"US")</f>
        <v>US</v>
      </c>
      <c r="C2032" s="3" t="str">
        <f ca="1">IFERROR(__xludf.DUMMYFUNCTION("""COMPUTED_VALUE"""),"Whitworth College")</f>
        <v>Whitworth College</v>
      </c>
      <c r="D2032" s="4" t="str">
        <f ca="1">IFERROR(__xludf.DUMMYFUNCTION("""COMPUTED_VALUE"""),"http://www.whitworth.edu/")</f>
        <v>http://www.whitworth.edu/</v>
      </c>
      <c r="G2032" s="2" t="str">
        <f t="shared" ca="1" si="0"/>
        <v>Whitworth College</v>
      </c>
      <c r="H2032" s="3" t="str">
        <f t="shared" ca="1" si="1"/>
        <v>Whitworth College</v>
      </c>
      <c r="I2032" s="3" t="str">
        <f t="shared" ca="1" si="2"/>
        <v>'Whitworth College',</v>
      </c>
    </row>
    <row r="2033" spans="1:9">
      <c r="A2033" s="1" t="s">
        <v>2031</v>
      </c>
      <c r="B2033" s="3" t="str">
        <f ca="1">IFERROR(__xludf.DUMMYFUNCTION("SPLIT(A2033,"","")"),"US")</f>
        <v>US</v>
      </c>
      <c r="C2033" s="3" t="str">
        <f ca="1">IFERROR(__xludf.DUMMYFUNCTION("""COMPUTED_VALUE"""),"Wichita State University")</f>
        <v>Wichita State University</v>
      </c>
      <c r="D2033" s="4" t="str">
        <f ca="1">IFERROR(__xludf.DUMMYFUNCTION("""COMPUTED_VALUE"""),"http://www.twsu.edu/")</f>
        <v>http://www.twsu.edu/</v>
      </c>
      <c r="G2033" s="2" t="str">
        <f t="shared" ca="1" si="0"/>
        <v>Wichita State University</v>
      </c>
      <c r="H2033" s="3" t="str">
        <f t="shared" ca="1" si="1"/>
        <v>Wichita State University</v>
      </c>
      <c r="I2033" s="3" t="str">
        <f t="shared" ca="1" si="2"/>
        <v>'Wichita State University',</v>
      </c>
    </row>
    <row r="2034" spans="1:9">
      <c r="A2034" s="1" t="s">
        <v>2032</v>
      </c>
      <c r="B2034" s="3" t="str">
        <f ca="1">IFERROR(__xludf.DUMMYFUNCTION("SPLIT(A2034,"","")"),"US")</f>
        <v>US</v>
      </c>
      <c r="C2034" s="3" t="str">
        <f ca="1">IFERROR(__xludf.DUMMYFUNCTION("""COMPUTED_VALUE"""),"Widener University")</f>
        <v>Widener University</v>
      </c>
      <c r="D2034" s="4" t="str">
        <f ca="1">IFERROR(__xludf.DUMMYFUNCTION("""COMPUTED_VALUE"""),"http://www.widener.edu/")</f>
        <v>http://www.widener.edu/</v>
      </c>
      <c r="G2034" s="2" t="str">
        <f t="shared" ca="1" si="0"/>
        <v>Widener University</v>
      </c>
      <c r="H2034" s="3" t="str">
        <f t="shared" ca="1" si="1"/>
        <v>Widener University</v>
      </c>
      <c r="I2034" s="3" t="str">
        <f t="shared" ca="1" si="2"/>
        <v>'Widener University',</v>
      </c>
    </row>
    <row r="2035" spans="1:9">
      <c r="A2035" s="1" t="s">
        <v>2033</v>
      </c>
      <c r="B2035" s="3" t="str">
        <f ca="1">IFERROR(__xludf.DUMMYFUNCTION("SPLIT(A2035,"","")"),"US")</f>
        <v>US</v>
      </c>
      <c r="C2035" s="3" t="str">
        <f ca="1">IFERROR(__xludf.DUMMYFUNCTION("""COMPUTED_VALUE"""),"Wilberforce University")</f>
        <v>Wilberforce University</v>
      </c>
      <c r="D2035" s="4" t="str">
        <f ca="1">IFERROR(__xludf.DUMMYFUNCTION("""COMPUTED_VALUE"""),"http://www.wilberforce.edu/")</f>
        <v>http://www.wilberforce.edu/</v>
      </c>
      <c r="G2035" s="2" t="str">
        <f t="shared" ca="1" si="0"/>
        <v>Wilberforce University</v>
      </c>
      <c r="H2035" s="3" t="str">
        <f t="shared" ca="1" si="1"/>
        <v>Wilberforce University</v>
      </c>
      <c r="I2035" s="3" t="str">
        <f t="shared" ca="1" si="2"/>
        <v>'Wilberforce University',</v>
      </c>
    </row>
    <row r="2036" spans="1:9">
      <c r="A2036" s="1" t="s">
        <v>2034</v>
      </c>
      <c r="B2036" s="3" t="str">
        <f ca="1">IFERROR(__xludf.DUMMYFUNCTION("SPLIT(A2036,"","")"),"US")</f>
        <v>US</v>
      </c>
      <c r="C2036" s="3" t="str">
        <f ca="1">IFERROR(__xludf.DUMMYFUNCTION("""COMPUTED_VALUE"""),"Wilbur Wright College")</f>
        <v>Wilbur Wright College</v>
      </c>
      <c r="D2036" s="4" t="str">
        <f ca="1">IFERROR(__xludf.DUMMYFUNCTION("""COMPUTED_VALUE"""),"http://www.ccc.edu/wright/")</f>
        <v>http://www.ccc.edu/wright/</v>
      </c>
      <c r="G2036" s="2" t="str">
        <f t="shared" ca="1" si="0"/>
        <v>Wilbur Wright College</v>
      </c>
      <c r="H2036" s="3" t="str">
        <f t="shared" ca="1" si="1"/>
        <v>Wilbur Wright College</v>
      </c>
      <c r="I2036" s="3" t="str">
        <f t="shared" ca="1" si="2"/>
        <v>'Wilbur Wright College',</v>
      </c>
    </row>
    <row r="2037" spans="1:9">
      <c r="A2037" s="1" t="s">
        <v>2035</v>
      </c>
      <c r="B2037" s="3" t="str">
        <f ca="1">IFERROR(__xludf.DUMMYFUNCTION("SPLIT(A2037,"","")"),"US")</f>
        <v>US</v>
      </c>
      <c r="C2037" s="3" t="str">
        <f ca="1">IFERROR(__xludf.DUMMYFUNCTION("""COMPUTED_VALUE"""),"Wiley College")</f>
        <v>Wiley College</v>
      </c>
      <c r="D2037" s="4" t="str">
        <f ca="1">IFERROR(__xludf.DUMMYFUNCTION("""COMPUTED_VALUE"""),"http://www.wileyc.edu/")</f>
        <v>http://www.wileyc.edu/</v>
      </c>
      <c r="G2037" s="2" t="str">
        <f t="shared" ca="1" si="0"/>
        <v>Wiley College</v>
      </c>
      <c r="H2037" s="3" t="str">
        <f t="shared" ca="1" si="1"/>
        <v>Wiley College</v>
      </c>
      <c r="I2037" s="3" t="str">
        <f t="shared" ca="1" si="2"/>
        <v>'Wiley College',</v>
      </c>
    </row>
    <row r="2038" spans="1:9">
      <c r="A2038" s="1" t="s">
        <v>2036</v>
      </c>
      <c r="B2038" s="3" t="str">
        <f ca="1">IFERROR(__xludf.DUMMYFUNCTION("SPLIT(A2038,"","")"),"US")</f>
        <v>US</v>
      </c>
      <c r="C2038" s="3" t="str">
        <f ca="1">IFERROR(__xludf.DUMMYFUNCTION("""COMPUTED_VALUE"""),"Wilkes University")</f>
        <v>Wilkes University</v>
      </c>
      <c r="D2038" s="4" t="str">
        <f ca="1">IFERROR(__xludf.DUMMYFUNCTION("""COMPUTED_VALUE"""),"http://www.wilkes.edu/")</f>
        <v>http://www.wilkes.edu/</v>
      </c>
      <c r="G2038" s="2" t="str">
        <f t="shared" ca="1" si="0"/>
        <v>Wilkes University</v>
      </c>
      <c r="H2038" s="3" t="str">
        <f t="shared" ca="1" si="1"/>
        <v>Wilkes University</v>
      </c>
      <c r="I2038" s="3" t="str">
        <f t="shared" ca="1" si="2"/>
        <v>'Wilkes University',</v>
      </c>
    </row>
    <row r="2039" spans="1:9">
      <c r="A2039" s="1" t="s">
        <v>2037</v>
      </c>
      <c r="B2039" s="3" t="str">
        <f ca="1">IFERROR(__xludf.DUMMYFUNCTION("SPLIT(A2039,"","")"),"US")</f>
        <v>US</v>
      </c>
      <c r="C2039" s="3" t="str">
        <f ca="1">IFERROR(__xludf.DUMMYFUNCTION("""COMPUTED_VALUE"""),"Willamette University")</f>
        <v>Willamette University</v>
      </c>
      <c r="D2039" s="4" t="str">
        <f ca="1">IFERROR(__xludf.DUMMYFUNCTION("""COMPUTED_VALUE"""),"http://www.willamette.edu/")</f>
        <v>http://www.willamette.edu/</v>
      </c>
      <c r="G2039" s="2" t="str">
        <f t="shared" ca="1" si="0"/>
        <v>Willamette University</v>
      </c>
      <c r="H2039" s="3" t="str">
        <f t="shared" ca="1" si="1"/>
        <v>Willamette University</v>
      </c>
      <c r="I2039" s="3" t="str">
        <f t="shared" ca="1" si="2"/>
        <v>'Willamette University',</v>
      </c>
    </row>
    <row r="2040" spans="1:9">
      <c r="A2040" s="1" t="s">
        <v>2038</v>
      </c>
      <c r="B2040" s="3" t="str">
        <f ca="1">IFERROR(__xludf.DUMMYFUNCTION("SPLIT(A2040,"","")"),"US")</f>
        <v>US</v>
      </c>
      <c r="C2040" s="3" t="str">
        <f ca="1">IFERROR(__xludf.DUMMYFUNCTION("""COMPUTED_VALUE"""),"William Carey College")</f>
        <v>William Carey College</v>
      </c>
      <c r="D2040" s="4" t="str">
        <f ca="1">IFERROR(__xludf.DUMMYFUNCTION("""COMPUTED_VALUE"""),"http://www.wmcarey.edu/")</f>
        <v>http://www.wmcarey.edu/</v>
      </c>
      <c r="G2040" s="2" t="str">
        <f t="shared" ca="1" si="0"/>
        <v>William Carey College</v>
      </c>
      <c r="H2040" s="3" t="str">
        <f t="shared" ca="1" si="1"/>
        <v>William Carey College</v>
      </c>
      <c r="I2040" s="3" t="str">
        <f t="shared" ca="1" si="2"/>
        <v>'William Carey College',</v>
      </c>
    </row>
    <row r="2041" spans="1:9">
      <c r="A2041" s="1" t="s">
        <v>2039</v>
      </c>
      <c r="B2041" s="3" t="str">
        <f ca="1">IFERROR(__xludf.DUMMYFUNCTION("SPLIT(A2041,"","")"),"US")</f>
        <v>US</v>
      </c>
      <c r="C2041" s="3" t="str">
        <f ca="1">IFERROR(__xludf.DUMMYFUNCTION("""COMPUTED_VALUE"""),"William Jewell College")</f>
        <v>William Jewell College</v>
      </c>
      <c r="D2041" s="4" t="str">
        <f ca="1">IFERROR(__xludf.DUMMYFUNCTION("""COMPUTED_VALUE"""),"http://www.jewell.edu/")</f>
        <v>http://www.jewell.edu/</v>
      </c>
      <c r="G2041" s="2" t="str">
        <f t="shared" ca="1" si="0"/>
        <v>William Jewell College</v>
      </c>
      <c r="H2041" s="3" t="str">
        <f t="shared" ca="1" si="1"/>
        <v>William Jewell College</v>
      </c>
      <c r="I2041" s="3" t="str">
        <f t="shared" ca="1" si="2"/>
        <v>'William Jewell College',</v>
      </c>
    </row>
    <row r="2042" spans="1:9">
      <c r="A2042" s="1" t="s">
        <v>2040</v>
      </c>
      <c r="B2042" s="3" t="str">
        <f ca="1">IFERROR(__xludf.DUMMYFUNCTION("SPLIT(A2042,"","")"),"US")</f>
        <v>US</v>
      </c>
      <c r="C2042" s="3" t="str">
        <f ca="1">IFERROR(__xludf.DUMMYFUNCTION("""COMPUTED_VALUE"""),"William Mitchell College of Law")</f>
        <v>William Mitchell College of Law</v>
      </c>
      <c r="D2042" s="4" t="str">
        <f ca="1">IFERROR(__xludf.DUMMYFUNCTION("""COMPUTED_VALUE"""),"http://www.wmitchell.edu/")</f>
        <v>http://www.wmitchell.edu/</v>
      </c>
      <c r="G2042" s="2" t="str">
        <f t="shared" ca="1" si="0"/>
        <v>William Mitchell College of Law</v>
      </c>
      <c r="H2042" s="3" t="str">
        <f t="shared" ca="1" si="1"/>
        <v>William Mitchell College of Law</v>
      </c>
      <c r="I2042" s="3" t="str">
        <f t="shared" ca="1" si="2"/>
        <v>'William Mitchell College of Law',</v>
      </c>
    </row>
    <row r="2043" spans="1:9">
      <c r="A2043" s="1" t="s">
        <v>2041</v>
      </c>
      <c r="B2043" s="3" t="str">
        <f ca="1">IFERROR(__xludf.DUMMYFUNCTION("SPLIT(A2043,"","")"),"US")</f>
        <v>US</v>
      </c>
      <c r="C2043" s="3" t="str">
        <f ca="1">IFERROR(__xludf.DUMMYFUNCTION("""COMPUTED_VALUE"""),"William Paterson University")</f>
        <v>William Paterson University</v>
      </c>
      <c r="D2043" s="4" t="str">
        <f ca="1">IFERROR(__xludf.DUMMYFUNCTION("""COMPUTED_VALUE"""),"http://www.wpunj.edu/")</f>
        <v>http://www.wpunj.edu/</v>
      </c>
      <c r="G2043" s="2" t="str">
        <f t="shared" ca="1" si="0"/>
        <v>William Paterson University</v>
      </c>
      <c r="H2043" s="3" t="str">
        <f t="shared" ca="1" si="1"/>
        <v>William Paterson University</v>
      </c>
      <c r="I2043" s="3" t="str">
        <f t="shared" ca="1" si="2"/>
        <v>'William Paterson University',</v>
      </c>
    </row>
    <row r="2044" spans="1:9">
      <c r="A2044" s="1" t="s">
        <v>2042</v>
      </c>
      <c r="B2044" s="3" t="str">
        <f ca="1">IFERROR(__xludf.DUMMYFUNCTION("SPLIT(A2044,"","")"),"US")</f>
        <v>US</v>
      </c>
      <c r="C2044" s="3" t="str">
        <f ca="1">IFERROR(__xludf.DUMMYFUNCTION("""COMPUTED_VALUE"""),"William Penn College")</f>
        <v>William Penn College</v>
      </c>
      <c r="D2044" s="4" t="str">
        <f ca="1">IFERROR(__xludf.DUMMYFUNCTION("""COMPUTED_VALUE"""),"http://www.wmpenn.edu/")</f>
        <v>http://www.wmpenn.edu/</v>
      </c>
      <c r="G2044" s="2" t="str">
        <f t="shared" ca="1" si="0"/>
        <v>William Penn College</v>
      </c>
      <c r="H2044" s="3" t="str">
        <f t="shared" ca="1" si="1"/>
        <v>William Penn College</v>
      </c>
      <c r="I2044" s="3" t="str">
        <f t="shared" ca="1" si="2"/>
        <v>'William Penn College',</v>
      </c>
    </row>
    <row r="2045" spans="1:9">
      <c r="A2045" s="1" t="s">
        <v>2043</v>
      </c>
      <c r="B2045" s="3" t="str">
        <f ca="1">IFERROR(__xludf.DUMMYFUNCTION("SPLIT(A2045,"","")"),"US")</f>
        <v>US</v>
      </c>
      <c r="C2045" s="3" t="str">
        <f ca="1">IFERROR(__xludf.DUMMYFUNCTION("""COMPUTED_VALUE"""),"Williams Baptist College")</f>
        <v>Williams Baptist College</v>
      </c>
      <c r="D2045" s="4" t="str">
        <f ca="1">IFERROR(__xludf.DUMMYFUNCTION("""COMPUTED_VALUE"""),"http://www.wbcoll.edu/")</f>
        <v>http://www.wbcoll.edu/</v>
      </c>
      <c r="G2045" s="2" t="str">
        <f t="shared" ca="1" si="0"/>
        <v>Williams Baptist College</v>
      </c>
      <c r="H2045" s="3" t="str">
        <f t="shared" ca="1" si="1"/>
        <v>Williams Baptist College</v>
      </c>
      <c r="I2045" s="3" t="str">
        <f t="shared" ca="1" si="2"/>
        <v>'Williams Baptist College',</v>
      </c>
    </row>
    <row r="2046" spans="1:9">
      <c r="A2046" s="1" t="s">
        <v>2044</v>
      </c>
      <c r="B2046" s="3" t="str">
        <f ca="1">IFERROR(__xludf.DUMMYFUNCTION("SPLIT(A2046,"","")"),"US")</f>
        <v>US</v>
      </c>
      <c r="C2046" s="3" t="str">
        <f ca="1">IFERROR(__xludf.DUMMYFUNCTION("""COMPUTED_VALUE"""),"Williams College")</f>
        <v>Williams College</v>
      </c>
      <c r="D2046" s="4" t="str">
        <f ca="1">IFERROR(__xludf.DUMMYFUNCTION("""COMPUTED_VALUE"""),"http://www.williams.edu/")</f>
        <v>http://www.williams.edu/</v>
      </c>
      <c r="G2046" s="2" t="str">
        <f t="shared" ca="1" si="0"/>
        <v>Williams College</v>
      </c>
      <c r="H2046" s="3" t="str">
        <f t="shared" ca="1" si="1"/>
        <v>Williams College</v>
      </c>
      <c r="I2046" s="3" t="str">
        <f t="shared" ca="1" si="2"/>
        <v>'Williams College',</v>
      </c>
    </row>
    <row r="2047" spans="1:9">
      <c r="A2047" s="1" t="s">
        <v>2045</v>
      </c>
      <c r="B2047" s="3" t="str">
        <f ca="1">IFERROR(__xludf.DUMMYFUNCTION("SPLIT(A2047,"","")"),"US")</f>
        <v>US</v>
      </c>
      <c r="C2047" s="3" t="str">
        <f ca="1">IFERROR(__xludf.DUMMYFUNCTION("""COMPUTED_VALUE"""),"William Tyndale College")</f>
        <v>William Tyndale College</v>
      </c>
      <c r="D2047" s="4" t="str">
        <f ca="1">IFERROR(__xludf.DUMMYFUNCTION("""COMPUTED_VALUE"""),"http://www.williamtyndale.edu/")</f>
        <v>http://www.williamtyndale.edu/</v>
      </c>
      <c r="G2047" s="2" t="str">
        <f t="shared" ca="1" si="0"/>
        <v>William Tyndale College</v>
      </c>
      <c r="H2047" s="3" t="str">
        <f t="shared" ca="1" si="1"/>
        <v>William Tyndale College</v>
      </c>
      <c r="I2047" s="3" t="str">
        <f t="shared" ca="1" si="2"/>
        <v>'William Tyndale College',</v>
      </c>
    </row>
    <row r="2048" spans="1:9">
      <c r="A2048" s="1" t="s">
        <v>2046</v>
      </c>
      <c r="B2048" s="3" t="str">
        <f ca="1">IFERROR(__xludf.DUMMYFUNCTION("SPLIT(A2048,"","")"),"US")</f>
        <v>US</v>
      </c>
      <c r="C2048" s="3" t="str">
        <f ca="1">IFERROR(__xludf.DUMMYFUNCTION("""COMPUTED_VALUE"""),"William Woods University")</f>
        <v>William Woods University</v>
      </c>
      <c r="D2048" s="4" t="str">
        <f ca="1">IFERROR(__xludf.DUMMYFUNCTION("""COMPUTED_VALUE"""),"http://www.wmwoods.edu/")</f>
        <v>http://www.wmwoods.edu/</v>
      </c>
      <c r="G2048" s="2" t="str">
        <f t="shared" ca="1" si="0"/>
        <v>William Woods University</v>
      </c>
      <c r="H2048" s="3" t="str">
        <f t="shared" ca="1" si="1"/>
        <v>William Woods University</v>
      </c>
      <c r="I2048" s="3" t="str">
        <f t="shared" ca="1" si="2"/>
        <v>'William Woods University',</v>
      </c>
    </row>
    <row r="2049" spans="1:9">
      <c r="A2049" s="1" t="s">
        <v>2047</v>
      </c>
      <c r="B2049" s="3" t="str">
        <f ca="1">IFERROR(__xludf.DUMMYFUNCTION("SPLIT(A2049,"","")"),"US")</f>
        <v>US</v>
      </c>
      <c r="C2049" s="3" t="str">
        <f ca="1">IFERROR(__xludf.DUMMYFUNCTION("""COMPUTED_VALUE"""),"Wilmington College")</f>
        <v>Wilmington College</v>
      </c>
      <c r="D2049" s="4" t="str">
        <f ca="1">IFERROR(__xludf.DUMMYFUNCTION("""COMPUTED_VALUE"""),"http://www.wilmcoll.edu/")</f>
        <v>http://www.wilmcoll.edu/</v>
      </c>
      <c r="G2049" s="2" t="str">
        <f t="shared" ca="1" si="0"/>
        <v>Wilmington College</v>
      </c>
      <c r="H2049" s="3" t="str">
        <f t="shared" ca="1" si="1"/>
        <v>Wilmington College</v>
      </c>
      <c r="I2049" s="3" t="str">
        <f t="shared" ca="1" si="2"/>
        <v>'Wilmington College',</v>
      </c>
    </row>
    <row r="2050" spans="1:9">
      <c r="A2050" s="1" t="s">
        <v>2048</v>
      </c>
      <c r="B2050" s="3" t="str">
        <f ca="1">IFERROR(__xludf.DUMMYFUNCTION("SPLIT(A2050,"","")"),"US")</f>
        <v>US</v>
      </c>
      <c r="C2050" s="3" t="str">
        <f ca="1">IFERROR(__xludf.DUMMYFUNCTION("""COMPUTED_VALUE"""),"Wilmington College")</f>
        <v>Wilmington College</v>
      </c>
      <c r="D2050" s="4" t="str">
        <f ca="1">IFERROR(__xludf.DUMMYFUNCTION("""COMPUTED_VALUE"""),"http://www.wilmington.edu/")</f>
        <v>http://www.wilmington.edu/</v>
      </c>
      <c r="G2050" s="2" t="str">
        <f t="shared" ca="1" si="0"/>
        <v>Wilmington College</v>
      </c>
      <c r="H2050" s="3" t="str">
        <f t="shared" ca="1" si="1"/>
        <v>Wilmington College</v>
      </c>
      <c r="I2050" s="3" t="str">
        <f t="shared" ca="1" si="2"/>
        <v>'Wilmington College',</v>
      </c>
    </row>
    <row r="2051" spans="1:9">
      <c r="A2051" s="1" t="s">
        <v>2049</v>
      </c>
      <c r="B2051" s="3" t="str">
        <f ca="1">IFERROR(__xludf.DUMMYFUNCTION("SPLIT(A2051,"","")"),"US")</f>
        <v>US</v>
      </c>
      <c r="C2051" s="3" t="str">
        <f ca="1">IFERROR(__xludf.DUMMYFUNCTION("""COMPUTED_VALUE"""),"Wilson College")</f>
        <v>Wilson College</v>
      </c>
      <c r="D2051" s="4" t="str">
        <f ca="1">IFERROR(__xludf.DUMMYFUNCTION("""COMPUTED_VALUE"""),"http://www.wilson.edu/")</f>
        <v>http://www.wilson.edu/</v>
      </c>
      <c r="G2051" s="2" t="str">
        <f t="shared" ca="1" si="0"/>
        <v>Wilson College</v>
      </c>
      <c r="H2051" s="3" t="str">
        <f t="shared" ca="1" si="1"/>
        <v>Wilson College</v>
      </c>
      <c r="I2051" s="3" t="str">
        <f t="shared" ca="1" si="2"/>
        <v>'Wilson College',</v>
      </c>
    </row>
    <row r="2052" spans="1:9">
      <c r="A2052" s="1" t="s">
        <v>2050</v>
      </c>
      <c r="B2052" s="3" t="str">
        <f ca="1">IFERROR(__xludf.DUMMYFUNCTION("SPLIT(A2052,"","")"),"US")</f>
        <v>US</v>
      </c>
      <c r="C2052" s="3" t="str">
        <f ca="1">IFERROR(__xludf.DUMMYFUNCTION("""COMPUTED_VALUE"""),"Wingate University")</f>
        <v>Wingate University</v>
      </c>
      <c r="D2052" s="4" t="str">
        <f ca="1">IFERROR(__xludf.DUMMYFUNCTION("""COMPUTED_VALUE"""),"http://www.wingate.edu/")</f>
        <v>http://www.wingate.edu/</v>
      </c>
      <c r="G2052" s="2" t="str">
        <f t="shared" ca="1" si="0"/>
        <v>Wingate University</v>
      </c>
      <c r="H2052" s="3" t="str">
        <f t="shared" ca="1" si="1"/>
        <v>Wingate University</v>
      </c>
      <c r="I2052" s="3" t="str">
        <f t="shared" ca="1" si="2"/>
        <v>'Wingate University',</v>
      </c>
    </row>
    <row r="2053" spans="1:9">
      <c r="A2053" s="1" t="s">
        <v>2051</v>
      </c>
      <c r="B2053" s="3" t="str">
        <f ca="1">IFERROR(__xludf.DUMMYFUNCTION("SPLIT(A2053,"","")"),"US")</f>
        <v>US</v>
      </c>
      <c r="C2053" s="3" t="str">
        <f ca="1">IFERROR(__xludf.DUMMYFUNCTION("""COMPUTED_VALUE"""),"Winona State University")</f>
        <v>Winona State University</v>
      </c>
      <c r="D2053" s="4" t="str">
        <f ca="1">IFERROR(__xludf.DUMMYFUNCTION("""COMPUTED_VALUE"""),"http://www.winona.msus.edu/")</f>
        <v>http://www.winona.msus.edu/</v>
      </c>
      <c r="G2053" s="2" t="str">
        <f t="shared" ca="1" si="0"/>
        <v>Winona State University</v>
      </c>
      <c r="H2053" s="3" t="str">
        <f t="shared" ca="1" si="1"/>
        <v>Winona State University</v>
      </c>
      <c r="I2053" s="3" t="str">
        <f t="shared" ca="1" si="2"/>
        <v>'Winona State University',</v>
      </c>
    </row>
    <row r="2054" spans="1:9">
      <c r="A2054" s="1" t="s">
        <v>2052</v>
      </c>
      <c r="B2054" s="3" t="str">
        <f ca="1">IFERROR(__xludf.DUMMYFUNCTION("SPLIT(A2054,"","")"),"US")</f>
        <v>US</v>
      </c>
      <c r="C2054" s="3" t="str">
        <f ca="1">IFERROR(__xludf.DUMMYFUNCTION("""COMPUTED_VALUE"""),"Winston-Salem State University")</f>
        <v>Winston-Salem State University</v>
      </c>
      <c r="D2054" s="4" t="str">
        <f ca="1">IFERROR(__xludf.DUMMYFUNCTION("""COMPUTED_VALUE"""),"http://www.wssu.edu/")</f>
        <v>http://www.wssu.edu/</v>
      </c>
      <c r="G2054" s="2" t="str">
        <f t="shared" ca="1" si="0"/>
        <v>Winston-Salem State University</v>
      </c>
      <c r="H2054" s="3" t="str">
        <f t="shared" ca="1" si="1"/>
        <v>Winston-Salem State University</v>
      </c>
      <c r="I2054" s="3" t="str">
        <f t="shared" ca="1" si="2"/>
        <v>'Winston-Salem State University',</v>
      </c>
    </row>
    <row r="2055" spans="1:9">
      <c r="A2055" s="1" t="s">
        <v>2053</v>
      </c>
      <c r="B2055" s="3" t="str">
        <f ca="1">IFERROR(__xludf.DUMMYFUNCTION("SPLIT(A2055,"","")"),"US")</f>
        <v>US</v>
      </c>
      <c r="C2055" s="3" t="str">
        <f ca="1">IFERROR(__xludf.DUMMYFUNCTION("""COMPUTED_VALUE"""),"Winthrop University")</f>
        <v>Winthrop University</v>
      </c>
      <c r="D2055" s="4" t="str">
        <f ca="1">IFERROR(__xludf.DUMMYFUNCTION("""COMPUTED_VALUE"""),"http://www.winthrop.edu/")</f>
        <v>http://www.winthrop.edu/</v>
      </c>
      <c r="G2055" s="2" t="str">
        <f t="shared" ca="1" si="0"/>
        <v>Winthrop University</v>
      </c>
      <c r="H2055" s="3" t="str">
        <f t="shared" ca="1" si="1"/>
        <v>Winthrop University</v>
      </c>
      <c r="I2055" s="3" t="str">
        <f t="shared" ca="1" si="2"/>
        <v>'Winthrop University',</v>
      </c>
    </row>
    <row r="2056" spans="1:9">
      <c r="A2056" s="1" t="s">
        <v>2054</v>
      </c>
      <c r="B2056" s="3" t="str">
        <f ca="1">IFERROR(__xludf.DUMMYFUNCTION("SPLIT(A2056,"","")"),"US")</f>
        <v>US</v>
      </c>
      <c r="C2056" s="3" t="str">
        <f ca="1">IFERROR(__xludf.DUMMYFUNCTION("""COMPUTED_VALUE"""),"Wisconsin Lutheran College")</f>
        <v>Wisconsin Lutheran College</v>
      </c>
      <c r="D2056" s="4" t="str">
        <f ca="1">IFERROR(__xludf.DUMMYFUNCTION("""COMPUTED_VALUE"""),"http://www.wlc.edu/")</f>
        <v>http://www.wlc.edu/</v>
      </c>
      <c r="G2056" s="2" t="str">
        <f t="shared" ca="1" si="0"/>
        <v>Wisconsin Lutheran College</v>
      </c>
      <c r="H2056" s="3" t="str">
        <f t="shared" ca="1" si="1"/>
        <v>Wisconsin Lutheran College</v>
      </c>
      <c r="I2056" s="3" t="str">
        <f t="shared" ca="1" si="2"/>
        <v>'Wisconsin Lutheran College',</v>
      </c>
    </row>
    <row r="2057" spans="1:9">
      <c r="A2057" s="1" t="s">
        <v>2055</v>
      </c>
      <c r="B2057" s="3" t="str">
        <f ca="1">IFERROR(__xludf.DUMMYFUNCTION("SPLIT(A2057,"","")"),"US")</f>
        <v>US</v>
      </c>
      <c r="C2057" s="3" t="str">
        <f ca="1">IFERROR(__xludf.DUMMYFUNCTION("""COMPUTED_VALUE"""),"Wisconsin School of Professional Psychology")</f>
        <v>Wisconsin School of Professional Psychology</v>
      </c>
      <c r="D2057" s="4" t="str">
        <f ca="1">IFERROR(__xludf.DUMMYFUNCTION("""COMPUTED_VALUE"""),"http://www.execpc.com/~wspp/")</f>
        <v>http://www.execpc.com/~wspp/</v>
      </c>
      <c r="G2057" s="2" t="str">
        <f t="shared" ca="1" si="0"/>
        <v>Wisconsin School of Professional Psychology</v>
      </c>
      <c r="H2057" s="3" t="str">
        <f t="shared" ca="1" si="1"/>
        <v>Wisconsin School of Professional Psychology</v>
      </c>
      <c r="I2057" s="3" t="str">
        <f t="shared" ca="1" si="2"/>
        <v>'Wisconsin School of Professional Psychology',</v>
      </c>
    </row>
    <row r="2058" spans="1:9">
      <c r="A2058" s="1" t="s">
        <v>2056</v>
      </c>
      <c r="B2058" s="3" t="str">
        <f ca="1">IFERROR(__xludf.DUMMYFUNCTION("SPLIT(A2058,"","")"),"US")</f>
        <v>US</v>
      </c>
      <c r="C2058" s="3" t="str">
        <f ca="1">IFERROR(__xludf.DUMMYFUNCTION("""COMPUTED_VALUE"""),"Wittenberg University")</f>
        <v>Wittenberg University</v>
      </c>
      <c r="D2058" s="4" t="str">
        <f ca="1">IFERROR(__xludf.DUMMYFUNCTION("""COMPUTED_VALUE"""),"http://www.wittenberg.edu/")</f>
        <v>http://www.wittenberg.edu/</v>
      </c>
      <c r="G2058" s="2" t="str">
        <f t="shared" ca="1" si="0"/>
        <v>Wittenberg University</v>
      </c>
      <c r="H2058" s="3" t="str">
        <f t="shared" ca="1" si="1"/>
        <v>Wittenberg University</v>
      </c>
      <c r="I2058" s="3" t="str">
        <f t="shared" ca="1" si="2"/>
        <v>'Wittenberg University',</v>
      </c>
    </row>
    <row r="2059" spans="1:9">
      <c r="A2059" s="1" t="s">
        <v>2057</v>
      </c>
      <c r="B2059" s="3" t="str">
        <f ca="1">IFERROR(__xludf.DUMMYFUNCTION("SPLIT(A2059,"","")"),"US")</f>
        <v>US</v>
      </c>
      <c r="C2059" s="3" t="str">
        <f ca="1">IFERROR(__xludf.DUMMYFUNCTION("""COMPUTED_VALUE"""),"Wofford College")</f>
        <v>Wofford College</v>
      </c>
      <c r="D2059" s="4" t="str">
        <f ca="1">IFERROR(__xludf.DUMMYFUNCTION("""COMPUTED_VALUE"""),"http://www.wofford.edu/")</f>
        <v>http://www.wofford.edu/</v>
      </c>
      <c r="G2059" s="2" t="str">
        <f t="shared" ca="1" si="0"/>
        <v>Wofford College</v>
      </c>
      <c r="H2059" s="3" t="str">
        <f t="shared" ca="1" si="1"/>
        <v>Wofford College</v>
      </c>
      <c r="I2059" s="3" t="str">
        <f t="shared" ca="1" si="2"/>
        <v>'Wofford College',</v>
      </c>
    </row>
    <row r="2060" spans="1:9">
      <c r="A2060" s="1" t="s">
        <v>2058</v>
      </c>
      <c r="B2060" s="3" t="str">
        <f ca="1">IFERROR(__xludf.DUMMYFUNCTION("SPLIT(A2060,"","")"),"US")</f>
        <v>US</v>
      </c>
      <c r="C2060" s="3" t="str">
        <f ca="1">IFERROR(__xludf.DUMMYFUNCTION("""COMPUTED_VALUE"""),"Woodbury University")</f>
        <v>Woodbury University</v>
      </c>
      <c r="D2060" s="4" t="str">
        <f ca="1">IFERROR(__xludf.DUMMYFUNCTION("""COMPUTED_VALUE"""),"http://www.woodburyu.edu/")</f>
        <v>http://www.woodburyu.edu/</v>
      </c>
      <c r="G2060" s="2" t="str">
        <f t="shared" ca="1" si="0"/>
        <v>Woodbury University</v>
      </c>
      <c r="H2060" s="3" t="str">
        <f t="shared" ca="1" si="1"/>
        <v>Woodbury University</v>
      </c>
      <c r="I2060" s="3" t="str">
        <f t="shared" ca="1" si="2"/>
        <v>'Woodbury University',</v>
      </c>
    </row>
    <row r="2061" spans="1:9">
      <c r="A2061" s="1" t="s">
        <v>2059</v>
      </c>
      <c r="B2061" s="3" t="str">
        <f ca="1">IFERROR(__xludf.DUMMYFUNCTION("SPLIT(A2061,"","")"),"US")</f>
        <v>US</v>
      </c>
      <c r="C2061" s="3" t="str">
        <f ca="1">IFERROR(__xludf.DUMMYFUNCTION("""COMPUTED_VALUE"""),"Worcester Polytechnic Institute")</f>
        <v>Worcester Polytechnic Institute</v>
      </c>
      <c r="D2061" s="4" t="str">
        <f ca="1">IFERROR(__xludf.DUMMYFUNCTION("""COMPUTED_VALUE"""),"http://www.wpi.edu/")</f>
        <v>http://www.wpi.edu/</v>
      </c>
      <c r="G2061" s="2" t="str">
        <f t="shared" ca="1" si="0"/>
        <v>Worcester Polytechnic Institute</v>
      </c>
      <c r="H2061" s="3" t="str">
        <f t="shared" ca="1" si="1"/>
        <v>Worcester Polytechnic Institute</v>
      </c>
      <c r="I2061" s="3" t="str">
        <f t="shared" ca="1" si="2"/>
        <v>'Worcester Polytechnic Institute',</v>
      </c>
    </row>
    <row r="2062" spans="1:9">
      <c r="A2062" s="1" t="s">
        <v>2060</v>
      </c>
      <c r="B2062" s="3" t="str">
        <f ca="1">IFERROR(__xludf.DUMMYFUNCTION("SPLIT(A2062,"","")"),"US")</f>
        <v>US</v>
      </c>
      <c r="C2062" s="3" t="str">
        <f ca="1">IFERROR(__xludf.DUMMYFUNCTION("""COMPUTED_VALUE"""),"Worcester State College")</f>
        <v>Worcester State College</v>
      </c>
      <c r="D2062" s="4" t="str">
        <f ca="1">IFERROR(__xludf.DUMMYFUNCTION("""COMPUTED_VALUE"""),"http://www.worc.mass.edu/")</f>
        <v>http://www.worc.mass.edu/</v>
      </c>
      <c r="G2062" s="2" t="str">
        <f t="shared" ca="1" si="0"/>
        <v>Worcester State College</v>
      </c>
      <c r="H2062" s="3" t="str">
        <f t="shared" ca="1" si="1"/>
        <v>Worcester State College</v>
      </c>
      <c r="I2062" s="3" t="str">
        <f t="shared" ca="1" si="2"/>
        <v>'Worcester State College',</v>
      </c>
    </row>
    <row r="2063" spans="1:9">
      <c r="A2063" s="1" t="s">
        <v>2061</v>
      </c>
      <c r="B2063" s="3" t="str">
        <f ca="1">IFERROR(__xludf.DUMMYFUNCTION("SPLIT(A2063,"","")"),"US")</f>
        <v>US</v>
      </c>
      <c r="C2063" s="3" t="str">
        <f ca="1">IFERROR(__xludf.DUMMYFUNCTION("""COMPUTED_VALUE"""),"Wright Institute")</f>
        <v>Wright Institute</v>
      </c>
      <c r="D2063" s="4" t="str">
        <f ca="1">IFERROR(__xludf.DUMMYFUNCTION("""COMPUTED_VALUE"""),"http://www.wrightinst.edu/")</f>
        <v>http://www.wrightinst.edu/</v>
      </c>
      <c r="G2063" s="2" t="str">
        <f t="shared" ca="1" si="0"/>
        <v>Wright Institute</v>
      </c>
      <c r="H2063" s="3" t="str">
        <f t="shared" ca="1" si="1"/>
        <v>Wright Institute</v>
      </c>
      <c r="I2063" s="3" t="str">
        <f t="shared" ca="1" si="2"/>
        <v>'Wright Institute',</v>
      </c>
    </row>
    <row r="2064" spans="1:9">
      <c r="A2064" s="1" t="s">
        <v>2062</v>
      </c>
      <c r="B2064" s="3" t="str">
        <f ca="1">IFERROR(__xludf.DUMMYFUNCTION("SPLIT(A2064,"","")"),"US")</f>
        <v>US</v>
      </c>
      <c r="C2064" s="3" t="str">
        <f ca="1">IFERROR(__xludf.DUMMYFUNCTION("""COMPUTED_VALUE"""),"Wright State University")</f>
        <v>Wright State University</v>
      </c>
      <c r="D2064" s="4" t="str">
        <f ca="1">IFERROR(__xludf.DUMMYFUNCTION("""COMPUTED_VALUE"""),"http://www.wright.edu/")</f>
        <v>http://www.wright.edu/</v>
      </c>
      <c r="G2064" s="2" t="str">
        <f t="shared" ca="1" si="0"/>
        <v>Wright State University</v>
      </c>
      <c r="H2064" s="3" t="str">
        <f t="shared" ca="1" si="1"/>
        <v>Wright State University</v>
      </c>
      <c r="I2064" s="3" t="str">
        <f t="shared" ca="1" si="2"/>
        <v>'Wright State University',</v>
      </c>
    </row>
    <row r="2065" spans="1:9">
      <c r="A2065" s="1" t="s">
        <v>2063</v>
      </c>
      <c r="B2065" s="3" t="str">
        <f ca="1">IFERROR(__xludf.DUMMYFUNCTION("SPLIT(A2065,"","")"),"US")</f>
        <v>US</v>
      </c>
      <c r="C2065" s="3" t="str">
        <f ca="1">IFERROR(__xludf.DUMMYFUNCTION("""COMPUTED_VALUE"""),"Xavier University")</f>
        <v>Xavier University</v>
      </c>
      <c r="D2065" s="4" t="str">
        <f ca="1">IFERROR(__xludf.DUMMYFUNCTION("""COMPUTED_VALUE"""),"http://www.xu.edu/")</f>
        <v>http://www.xu.edu/</v>
      </c>
      <c r="G2065" s="2" t="str">
        <f t="shared" ca="1" si="0"/>
        <v>Xavier University</v>
      </c>
      <c r="H2065" s="3" t="str">
        <f t="shared" ca="1" si="1"/>
        <v>Xavier University</v>
      </c>
      <c r="I2065" s="3" t="str">
        <f t="shared" ca="1" si="2"/>
        <v>'Xavier University',</v>
      </c>
    </row>
    <row r="2066" spans="1:9">
      <c r="A2066" s="1" t="s">
        <v>2064</v>
      </c>
      <c r="B2066" s="3" t="str">
        <f ca="1">IFERROR(__xludf.DUMMYFUNCTION("SPLIT(A2066,"","")"),"US")</f>
        <v>US</v>
      </c>
      <c r="C2066" s="3" t="str">
        <f ca="1">IFERROR(__xludf.DUMMYFUNCTION("""COMPUTED_VALUE"""),"Xavier University of Louisiana")</f>
        <v>Xavier University of Louisiana</v>
      </c>
      <c r="D2066" s="4" t="str">
        <f ca="1">IFERROR(__xludf.DUMMYFUNCTION("""COMPUTED_VALUE"""),"http://www.xula.edu/")</f>
        <v>http://www.xula.edu/</v>
      </c>
      <c r="G2066" s="2" t="str">
        <f t="shared" ca="1" si="0"/>
        <v>Xavier University of Louisiana</v>
      </c>
      <c r="H2066" s="3" t="str">
        <f t="shared" ca="1" si="1"/>
        <v>Xavier University of Louisiana</v>
      </c>
      <c r="I2066" s="3" t="str">
        <f t="shared" ca="1" si="2"/>
        <v>'Xavier University of Louisiana',</v>
      </c>
    </row>
    <row r="2067" spans="1:9">
      <c r="A2067" s="1" t="s">
        <v>2065</v>
      </c>
      <c r="B2067" s="3" t="str">
        <f ca="1">IFERROR(__xludf.DUMMYFUNCTION("SPLIT(A2067,"","")"),"US")</f>
        <v>US</v>
      </c>
      <c r="C2067" s="3" t="str">
        <f ca="1">IFERROR(__xludf.DUMMYFUNCTION("""COMPUTED_VALUE"""),"Yale University")</f>
        <v>Yale University</v>
      </c>
      <c r="D2067" s="4" t="str">
        <f ca="1">IFERROR(__xludf.DUMMYFUNCTION("""COMPUTED_VALUE"""),"http://www.yale.edu/")</f>
        <v>http://www.yale.edu/</v>
      </c>
      <c r="G2067" s="2" t="str">
        <f t="shared" ca="1" si="0"/>
        <v>Yale University</v>
      </c>
      <c r="H2067" s="3" t="str">
        <f t="shared" ca="1" si="1"/>
        <v>Yale University</v>
      </c>
      <c r="I2067" s="3" t="str">
        <f t="shared" ca="1" si="2"/>
        <v>'Yale University',</v>
      </c>
    </row>
    <row r="2068" spans="1:9">
      <c r="A2068" s="1" t="s">
        <v>2066</v>
      </c>
      <c r="B2068" s="3" t="str">
        <f ca="1">IFERROR(__xludf.DUMMYFUNCTION("SPLIT(A2068,"","")"),"US")</f>
        <v>US</v>
      </c>
      <c r="C2068" s="3" t="str">
        <f ca="1">IFERROR(__xludf.DUMMYFUNCTION("""COMPUTED_VALUE"""),"Yeshiva University")</f>
        <v>Yeshiva University</v>
      </c>
      <c r="D2068" s="4" t="str">
        <f ca="1">IFERROR(__xludf.DUMMYFUNCTION("""COMPUTED_VALUE"""),"http://www.yu.edu/")</f>
        <v>http://www.yu.edu/</v>
      </c>
      <c r="G2068" s="2" t="str">
        <f t="shared" ca="1" si="0"/>
        <v>Yeshiva University</v>
      </c>
      <c r="H2068" s="3" t="str">
        <f t="shared" ca="1" si="1"/>
        <v>Yeshiva University</v>
      </c>
      <c r="I2068" s="3" t="str">
        <f t="shared" ca="1" si="2"/>
        <v>'Yeshiva University',</v>
      </c>
    </row>
    <row r="2069" spans="1:9">
      <c r="A2069" s="1" t="s">
        <v>2067</v>
      </c>
      <c r="B2069" s="3" t="str">
        <f ca="1">IFERROR(__xludf.DUMMYFUNCTION("SPLIT(A2069,"","")"),"US")</f>
        <v>US</v>
      </c>
      <c r="C2069" s="3" t="str">
        <f ca="1">IFERROR(__xludf.DUMMYFUNCTION("""COMPUTED_VALUE"""),"York College Nebraska")</f>
        <v>York College Nebraska</v>
      </c>
      <c r="D2069" s="4" t="str">
        <f ca="1">IFERROR(__xludf.DUMMYFUNCTION("""COMPUTED_VALUE"""),"http://www.york.edu/")</f>
        <v>http://www.york.edu/</v>
      </c>
      <c r="G2069" s="2" t="str">
        <f t="shared" ca="1" si="0"/>
        <v>York College Nebraska</v>
      </c>
      <c r="H2069" s="3" t="str">
        <f t="shared" ca="1" si="1"/>
        <v>York College Nebraska</v>
      </c>
      <c r="I2069" s="3" t="str">
        <f t="shared" ca="1" si="2"/>
        <v>'York College Nebraska',</v>
      </c>
    </row>
    <row r="2070" spans="1:9">
      <c r="A2070" s="1" t="s">
        <v>2068</v>
      </c>
      <c r="B2070" s="3" t="str">
        <f ca="1">IFERROR(__xludf.DUMMYFUNCTION("SPLIT(A2070,"","")"),"US")</f>
        <v>US</v>
      </c>
      <c r="C2070" s="3" t="str">
        <f ca="1">IFERROR(__xludf.DUMMYFUNCTION("""COMPUTED_VALUE"""),"York College of Pennsylvania")</f>
        <v>York College of Pennsylvania</v>
      </c>
      <c r="D2070" s="4" t="str">
        <f ca="1">IFERROR(__xludf.DUMMYFUNCTION("""COMPUTED_VALUE"""),"http://www.yorkcol.edu/")</f>
        <v>http://www.yorkcol.edu/</v>
      </c>
      <c r="G2070" s="2" t="str">
        <f t="shared" ca="1" si="0"/>
        <v>York College of Pennsylvania</v>
      </c>
      <c r="H2070" s="3" t="str">
        <f t="shared" ca="1" si="1"/>
        <v>York College of Pennsylvania</v>
      </c>
      <c r="I2070" s="3" t="str">
        <f t="shared" ca="1" si="2"/>
        <v>'York College of Pennsylvania',</v>
      </c>
    </row>
    <row r="2071" spans="1:9">
      <c r="A2071" s="1" t="s">
        <v>2069</v>
      </c>
      <c r="B2071" s="3" t="str">
        <f ca="1">IFERROR(__xludf.DUMMYFUNCTION("SPLIT(A2071,"","")"),"US")</f>
        <v>US</v>
      </c>
      <c r="C2071" s="3" t="str">
        <f ca="1">IFERROR(__xludf.DUMMYFUNCTION("""COMPUTED_VALUE"""),"Yorker International University")</f>
        <v>Yorker International University</v>
      </c>
      <c r="D2071" s="4" t="str">
        <f ca="1">IFERROR(__xludf.DUMMYFUNCTION("""COMPUTED_VALUE"""),"http://www.nyuniversity.net/")</f>
        <v>http://www.nyuniversity.net/</v>
      </c>
      <c r="G2071" s="2" t="str">
        <f t="shared" ca="1" si="0"/>
        <v>Yorker International University</v>
      </c>
      <c r="H2071" s="3" t="str">
        <f t="shared" ca="1" si="1"/>
        <v>Yorker International University</v>
      </c>
      <c r="I2071" s="3" t="str">
        <f t="shared" ca="1" si="2"/>
        <v>'Yorker International University',</v>
      </c>
    </row>
    <row r="2072" spans="1:9">
      <c r="A2072" s="1" t="s">
        <v>2070</v>
      </c>
      <c r="B2072" s="3" t="str">
        <f ca="1">IFERROR(__xludf.DUMMYFUNCTION("SPLIT(A2072,"","")"),"US")</f>
        <v>US</v>
      </c>
      <c r="C2072" s="3" t="str">
        <f ca="1">IFERROR(__xludf.DUMMYFUNCTION("""COMPUTED_VALUE"""),"York University")</f>
        <v>York University</v>
      </c>
      <c r="D2072" s="4" t="str">
        <f ca="1">IFERROR(__xludf.DUMMYFUNCTION("""COMPUTED_VALUE"""),"http://www.yorkuniversity.us/")</f>
        <v>http://www.yorkuniversity.us/</v>
      </c>
      <c r="G2072" s="2" t="str">
        <f t="shared" ca="1" si="0"/>
        <v>York University</v>
      </c>
      <c r="H2072" s="3" t="str">
        <f t="shared" ca="1" si="1"/>
        <v>York University</v>
      </c>
      <c r="I2072" s="3" t="str">
        <f t="shared" ca="1" si="2"/>
        <v>'York University',</v>
      </c>
    </row>
    <row r="2073" spans="1:9">
      <c r="A2073" s="1" t="s">
        <v>2071</v>
      </c>
      <c r="B2073" s="3" t="str">
        <f ca="1">IFERROR(__xludf.DUMMYFUNCTION("SPLIT(A2073,"","")"),"US")</f>
        <v>US</v>
      </c>
      <c r="C2073" s="3" t="str">
        <f ca="1">IFERROR(__xludf.DUMMYFUNCTION("""COMPUTED_VALUE"""),"Youngstown State University")</f>
        <v>Youngstown State University</v>
      </c>
      <c r="D2073" s="4" t="str">
        <f ca="1">IFERROR(__xludf.DUMMYFUNCTION("""COMPUTED_VALUE"""),"http://www.ysu.edu/")</f>
        <v>http://www.ysu.edu/</v>
      </c>
      <c r="G2073" s="2" t="str">
        <f t="shared" ca="1" si="0"/>
        <v>Youngstown State University</v>
      </c>
      <c r="H2073" s="3" t="str">
        <f t="shared" ca="1" si="1"/>
        <v>Youngstown State University</v>
      </c>
      <c r="I2073" s="3" t="str">
        <f t="shared" ca="1" si="2"/>
        <v>'Youngstown State University',</v>
      </c>
    </row>
  </sheetData>
  <hyperlinks>
    <hyperlink ref="D2" r:id="rId1" display="http://www.adams.edu/" xr:uid="{00000000-0004-0000-0100-000000000000}"/>
    <hyperlink ref="D3" r:id="rId2" display="http://www.adelphi.edu/" xr:uid="{00000000-0004-0000-0100-000001000000}"/>
    <hyperlink ref="D4" r:id="rId3" display="http://www.adler.edu/" xr:uid="{00000000-0004-0000-0100-000002000000}"/>
    <hyperlink ref="D5" r:id="rId4" display="http://www.adrian.edu/" xr:uid="{00000000-0004-0000-0100-000003000000}"/>
    <hyperlink ref="D6" r:id="rId5" display="http://www.scottlan.edu/" xr:uid="{00000000-0004-0000-0100-000004000000}"/>
    <hyperlink ref="D7" r:id="rId6" display="http://www.afit.af.mil/" xr:uid="{00000000-0004-0000-0100-000005000000}"/>
    <hyperlink ref="D8" r:id="rId7" display="http://www.aamu.edu/" xr:uid="{00000000-0004-0000-0100-000006000000}"/>
    <hyperlink ref="D9" r:id="rId8" display="http://www.alasu.edu/" xr:uid="{00000000-0004-0000-0100-000007000000}"/>
    <hyperlink ref="D10" r:id="rId9" display="http://www.akbible.edu/" xr:uid="{00000000-0004-0000-0100-000008000000}"/>
    <hyperlink ref="D11" r:id="rId10" display="http://www.alaskapacific.edu/" xr:uid="{00000000-0004-0000-0100-000009000000}"/>
    <hyperlink ref="D12" r:id="rId11" display="http://www.acp.edu/" xr:uid="{00000000-0004-0000-0100-00000A000000}"/>
    <hyperlink ref="D13" r:id="rId12" display="http://www.albanylaw.edu/" xr:uid="{00000000-0004-0000-0100-00000B000000}"/>
    <hyperlink ref="D14" r:id="rId13" display="http://www.amc.edu/" xr:uid="{00000000-0004-0000-0100-00000C000000}"/>
    <hyperlink ref="D15" r:id="rId14" display="http://www.asurams.edu/" xr:uid="{00000000-0004-0000-0100-00000D000000}"/>
    <hyperlink ref="D16" r:id="rId15" display="http://www.albertus.edu/" xr:uid="{00000000-0004-0000-0100-00000E000000}"/>
    <hyperlink ref="D17" r:id="rId16" display="http://www.albion.edu/" xr:uid="{00000000-0004-0000-0100-00000F000000}"/>
    <hyperlink ref="D18" r:id="rId17" display="http://www.albright.edu/" xr:uid="{00000000-0004-0000-0100-000010000000}"/>
    <hyperlink ref="D19" r:id="rId18" display="http://www.alcorn.edu/" xr:uid="{00000000-0004-0000-0100-000011000000}"/>
    <hyperlink ref="D20" r:id="rId19" display="http://www.ab.edu/" xr:uid="{00000000-0004-0000-0100-000012000000}"/>
    <hyperlink ref="D21" r:id="rId20" display="http://www.alfredadler.edu/" xr:uid="{00000000-0004-0000-0100-000013000000}"/>
    <hyperlink ref="D22" r:id="rId21" display="http://www.alfred.edu/" xr:uid="{00000000-0004-0000-0100-000014000000}"/>
    <hyperlink ref="D23" r:id="rId22" display="http://www.alc.edu/" xr:uid="{00000000-0004-0000-0100-000015000000}"/>
    <hyperlink ref="D24" r:id="rId23" display="http://www.alleg.edu/" xr:uid="{00000000-0004-0000-0100-000016000000}"/>
    <hyperlink ref="D25" r:id="rId24" display="http://www.scicu.org/allen/" xr:uid="{00000000-0004-0000-0100-000017000000}"/>
    <hyperlink ref="D26" r:id="rId25" display="http://www.alma.edu/" xr:uid="{00000000-0004-0000-0100-000018000000}"/>
    <hyperlink ref="D27" r:id="rId26" display="http://www.alvernia.edu/" xr:uid="{00000000-0004-0000-0100-000019000000}"/>
    <hyperlink ref="D28" r:id="rId27" display="http://www.alverno.edu/" xr:uid="{00000000-0004-0000-0100-00001A000000}"/>
    <hyperlink ref="D29" r:id="rId28" display="http://www.ambassador.edu/" xr:uid="{00000000-0004-0000-0100-00001B000000}"/>
    <hyperlink ref="D30" r:id="rId29" display="http://www.amberu.edu/" xr:uid="{00000000-0004-0000-0100-00001C000000}"/>
    <hyperlink ref="D31" r:id="rId30" display="http://www.nutritioneducation.com/" xr:uid="{00000000-0004-0000-0100-00001D000000}"/>
    <hyperlink ref="D32" r:id="rId31" display="http://www.abtu.edu/" xr:uid="{00000000-0004-0000-0100-00001E000000}"/>
    <hyperlink ref="D33" r:id="rId32" display="http://members.aol.com/amerconsmu/" xr:uid="{00000000-0004-0000-0100-00001F000000}"/>
    <hyperlink ref="D34" r:id="rId33" display="http://www.act-sfbay.org/" xr:uid="{00000000-0004-0000-0100-000020000000}"/>
    <hyperlink ref="D35" r:id="rId34" display="http://www.aesom.com/" xr:uid="{00000000-0004-0000-0100-000021000000}"/>
    <hyperlink ref="D36" r:id="rId35" display="http://www.afionline.org/cafts/cafts.home.html" xr:uid="{00000000-0004-0000-0100-000022000000}"/>
    <hyperlink ref="D37" r:id="rId36" display="http://www.aicag.edu/" xr:uid="{00000000-0004-0000-0100-000023000000}"/>
    <hyperlink ref="D38" r:id="rId37" display="http://www.aiuniv.edu/" xr:uid="{00000000-0004-0000-0100-000024000000}"/>
    <hyperlink ref="D39" r:id="rId38" display="http://www.aiuniv.edu/" xr:uid="{00000000-0004-0000-0100-000025000000}"/>
    <hyperlink ref="D40" r:id="rId39" display="http://www.aiuniv.edu/" xr:uid="{00000000-0004-0000-0100-000026000000}"/>
    <hyperlink ref="D41" r:id="rId40" display="http://www.aiu-online.com/" xr:uid="{00000000-0004-0000-0100-000027000000}"/>
    <hyperlink ref="D42" r:id="rId41" display="http://www.aic.edu/" xr:uid="{00000000-0004-0000-0100-000028000000}"/>
    <hyperlink ref="D43" r:id="rId42" display="http://www.ajula.edu/" xr:uid="{00000000-0004-0000-0100-000029000000}"/>
    <hyperlink ref="D44" r:id="rId43" display="http://www.amunet.edu/" xr:uid="{00000000-0004-0000-0100-00002A000000}"/>
    <hyperlink ref="D45" r:id="rId44" display="http://www.apus.edu/" xr:uid="{00000000-0004-0000-0100-00002B000000}"/>
    <hyperlink ref="D46" r:id="rId45" display="http://www.american.edu/" xr:uid="{00000000-0004-0000-0100-00002C000000}"/>
    <hyperlink ref="D47" r:id="rId46" display="http://www.awu.edu/" xr:uid="{00000000-0004-0000-0100-00002D000000}"/>
    <hyperlink ref="D48" r:id="rId47" display="http://www.amherst.edu/" xr:uid="{00000000-0004-0000-0100-00002E000000}"/>
    <hyperlink ref="D49" r:id="rId48" display="http://www.anderson-college.edu/" xr:uid="{00000000-0004-0000-0100-00002F000000}"/>
    <hyperlink ref="D50" r:id="rId49" display="http://www.anderson.edu/" xr:uid="{00000000-0004-0000-0100-000030000000}"/>
    <hyperlink ref="D51" r:id="rId50" display="http://www.andoncollege.com/" xr:uid="{00000000-0004-0000-0100-000031000000}"/>
    <hyperlink ref="D52" r:id="rId51" display="http://www.andoncollege.org/" xr:uid="{00000000-0004-0000-0100-000032000000}"/>
    <hyperlink ref="D53" r:id="rId52" display="http://www.aju.edu/" xr:uid="{00000000-0004-0000-0100-000033000000}"/>
    <hyperlink ref="D54" r:id="rId53" display="http://www.andrews.edu/" xr:uid="{00000000-0004-0000-0100-000034000000}"/>
    <hyperlink ref="D55" r:id="rId54" display="http://www.angelo.edu/" xr:uid="{00000000-0004-0000-0100-000035000000}"/>
    <hyperlink ref="D56" r:id="rId55" display="http://www.anna-maria.edu/" xr:uid="{00000000-0004-0000-0100-000036000000}"/>
    <hyperlink ref="D57" r:id="rId56" display="http://www.antiochne.edu/" xr:uid="{00000000-0004-0000-0100-000037000000}"/>
    <hyperlink ref="D58" r:id="rId57" display="http://www.antioch.edu/" xr:uid="{00000000-0004-0000-0100-000038000000}"/>
    <hyperlink ref="D59" r:id="rId58" display="http://www.antiochla.edu/" xr:uid="{00000000-0004-0000-0100-000039000000}"/>
    <hyperlink ref="D60" r:id="rId59" display="http://www.antiochsb.edu/" xr:uid="{00000000-0004-0000-0100-00003A000000}"/>
    <hyperlink ref="D61" r:id="rId60" display="http://www.antiochsea.edu/" xr:uid="{00000000-0004-0000-0100-00003B000000}"/>
    <hyperlink ref="D62" r:id="rId61" display="http://www.appbibco.edu/" xr:uid="{00000000-0004-0000-0100-00003C000000}"/>
    <hyperlink ref="D63" r:id="rId62" display="http://www.appstate.edu/" xr:uid="{00000000-0004-0000-0100-00003D000000}"/>
    <hyperlink ref="D64" r:id="rId63" display="http://www.aquinas.edu/" xr:uid="{00000000-0004-0000-0100-00003E000000}"/>
    <hyperlink ref="D65" r:id="rId64" display="http://www.arcadia.edu/" xr:uid="{00000000-0004-0000-0100-00003F000000}"/>
    <hyperlink ref="D66" r:id="rId65" display="http://www.argosy.edu/" xr:uid="{00000000-0004-0000-0100-000040000000}"/>
    <hyperlink ref="D67" r:id="rId66" display="http://www.argosyu.edu/" xr:uid="{00000000-0004-0000-0100-000041000000}"/>
    <hyperlink ref="D68" r:id="rId67" display="http://www.arizonachristian.edu/" xr:uid="{00000000-0004-0000-0100-000042000000}"/>
    <hyperlink ref="D69" r:id="rId68" display="http://www.asu.edu/" xr:uid="{00000000-0004-0000-0100-000043000000}"/>
    <hyperlink ref="E70" r:id="rId69" display="https://campus.asu.edu/downtown" xr:uid="{00000000-0004-0000-0100-000044000000}"/>
    <hyperlink ref="E71" r:id="rId70" display="https://campus.asu.edu/polytechnic" xr:uid="{00000000-0004-0000-0100-000045000000}"/>
    <hyperlink ref="E72" r:id="rId71" display="https://campus.asu.edu/tempe" xr:uid="{00000000-0004-0000-0100-000046000000}"/>
    <hyperlink ref="E73" r:id="rId72" display="https://campus.asu.edu/west" xr:uid="{00000000-0004-0000-0100-000047000000}"/>
    <hyperlink ref="D74" r:id="rId73" display="http://www.astate.edu/" xr:uid="{00000000-0004-0000-0100-000048000000}"/>
    <hyperlink ref="E75" r:id="rId74" display="http://www.asub.edu/" xr:uid="{00000000-0004-0000-0100-000049000000}"/>
    <hyperlink ref="E76" r:id="rId75" display="http://www.asumh.edu/" xr:uid="{00000000-0004-0000-0100-00004A000000}"/>
    <hyperlink ref="E77" r:id="rId76" display="http://www.asun.edu/" xr:uid="{00000000-0004-0000-0100-00004B000000}"/>
    <hyperlink ref="D78" r:id="rId77" display="http://www.atu.edu/" xr:uid="{00000000-0004-0000-0100-00004C000000}"/>
    <hyperlink ref="D79" r:id="rId78" display="http://www.abconline.edu/" xr:uid="{00000000-0004-0000-0100-00004D000000}"/>
    <hyperlink ref="D80" r:id="rId79" display="http://www.armstrong.edu/" xr:uid="{00000000-0004-0000-0100-00004E000000}"/>
    <hyperlink ref="D81" r:id="rId80" display="http://www.armstrong-u.edu/" xr:uid="{00000000-0004-0000-0100-00004F000000}"/>
    <hyperlink ref="D82" r:id="rId81" display="http://www.artacademy.edu/" xr:uid="{00000000-0004-0000-0100-000050000000}"/>
    <hyperlink ref="D83" r:id="rId82" display="http://www.artcenter.edu/" xr:uid="{00000000-0004-0000-0100-000051000000}"/>
    <hyperlink ref="D84" r:id="rId83" display="http://www.adlsom.edu/" xr:uid="{00000000-0004-0000-0100-000052000000}"/>
    <hyperlink ref="D85" r:id="rId84" display="http://www.aich.artinstitutes.edu/" xr:uid="{00000000-0004-0000-0100-000053000000}"/>
    <hyperlink ref="D86" r:id="rId85" display="http://www.aisc.edu/" xr:uid="{00000000-0004-0000-0100-000054000000}"/>
    <hyperlink ref="D87" r:id="rId86" display="http://www.asbury.edu/" xr:uid="{00000000-0004-0000-0100-000055000000}"/>
    <hyperlink ref="D88" r:id="rId87" display="http://www.ashland.edu/" xr:uid="{00000000-0004-0000-0100-000056000000}"/>
    <hyperlink ref="D89" r:id="rId88" display="http://www.assumption.edu/" xr:uid="{00000000-0004-0000-0100-000057000000}"/>
    <hyperlink ref="D90" r:id="rId89" display="http://www.mtsm.org/" xr:uid="{00000000-0004-0000-0100-000058000000}"/>
    <hyperlink ref="D91" r:id="rId90" display="http://www.athens.edu/" xr:uid="{00000000-0004-0000-0100-000059000000}"/>
    <hyperlink ref="D92" r:id="rId91" display="http://www.acc.edu/" xr:uid="{00000000-0004-0000-0100-00005A000000}"/>
    <hyperlink ref="D93" r:id="rId92" display="http://www.aca.edu/" xr:uid="{00000000-0004-0000-0100-00005B000000}"/>
    <hyperlink ref="D94" r:id="rId93" display="http://www.aiu.edu/" xr:uid="{00000000-0004-0000-0100-00005C000000}"/>
    <hyperlink ref="D95" r:id="rId94" display="http://www.atlanticuc.edu/" xr:uid="{00000000-0004-0000-0100-00005D000000}"/>
    <hyperlink ref="D96" r:id="rId95" display="http://www.atlanticuniv.edu/" xr:uid="{00000000-0004-0000-0100-00005E000000}"/>
    <hyperlink ref="D97" r:id="rId96" display="http://www.auburn.edu/" xr:uid="{00000000-0004-0000-0100-00005F000000}"/>
    <hyperlink ref="D98" r:id="rId97" display="http://www.aum.edu/" xr:uid="{00000000-0004-0000-0100-000060000000}"/>
    <hyperlink ref="D99" r:id="rId98" display="http://www.audrey-cohen.edu/" xr:uid="{00000000-0004-0000-0100-000061000000}"/>
    <hyperlink ref="D100" r:id="rId99" display="http://www.augsburg.edu/" xr:uid="{00000000-0004-0000-0100-000062000000}"/>
    <hyperlink ref="D101" r:id="rId100" display="http://www.augustana.edu/" xr:uid="{00000000-0004-0000-0100-000063000000}"/>
    <hyperlink ref="D102" r:id="rId101" display="http://www.augie.edu/" xr:uid="{00000000-0004-0000-0100-000064000000}"/>
    <hyperlink ref="D103" r:id="rId102" display="http://www.aug.edu/" xr:uid="{00000000-0004-0000-0100-000065000000}"/>
    <hyperlink ref="D104" r:id="rId103" display="http://www.aurora.edu/" xr:uid="{00000000-0004-0000-0100-000066000000}"/>
    <hyperlink ref="D105" r:id="rId104" display="http://www.austinc.edu/" xr:uid="{00000000-0004-0000-0100-000067000000}"/>
    <hyperlink ref="D106" r:id="rId105" display="http://www.austin.cc.tx.us/" xr:uid="{00000000-0004-0000-0100-000068000000}"/>
    <hyperlink ref="D107" r:id="rId106" display="http://www.apsu.edu/" xr:uid="{00000000-0004-0000-0100-000069000000}"/>
    <hyperlink ref="D108" r:id="rId107" display="http://www.avemaria.edu/" xr:uid="{00000000-0004-0000-0100-00006A000000}"/>
    <hyperlink ref="D109" r:id="rId108" display="http://www.averett.edu/" xr:uid="{00000000-0004-0000-0100-00006B000000}"/>
    <hyperlink ref="D110" r:id="rId109" display="http://www.avila.edu/" xr:uid="{00000000-0004-0000-0100-00006C000000}"/>
    <hyperlink ref="D111" r:id="rId110" display="http://www.apu.edu/" xr:uid="{00000000-0004-0000-0100-00006D000000}"/>
    <hyperlink ref="D112" r:id="rId111" display="http://www.babson.edu/" xr:uid="{00000000-0004-0000-0100-00006E000000}"/>
    <hyperlink ref="D113" r:id="rId112" display="http://www.baker.edu/visit/auburn.html" xr:uid="{00000000-0004-0000-0100-00006F000000}"/>
    <hyperlink ref="D114" r:id="rId113" display="http://www.baker.edu/visit/cadillac.html" xr:uid="{00000000-0004-0000-0100-000070000000}"/>
    <hyperlink ref="D115" r:id="rId114" display="http://www.baker.edu/visit/flint.html" xr:uid="{00000000-0004-0000-0100-000071000000}"/>
    <hyperlink ref="D116" r:id="rId115" display="http://www.baker.edu/visit/mtclemens.html" xr:uid="{00000000-0004-0000-0100-000072000000}"/>
    <hyperlink ref="D117" r:id="rId116" display="http://www.baker.edu/visit/muskegon.html" xr:uid="{00000000-0004-0000-0100-000073000000}"/>
    <hyperlink ref="D118" r:id="rId117" display="http://www.baker.edu/visit/owosso.html" xr:uid="{00000000-0004-0000-0100-000074000000}"/>
    <hyperlink ref="D119" r:id="rId118" display="http://www.baker.edu/visit/porthuron.html" xr:uid="{00000000-0004-0000-0100-000075000000}"/>
    <hyperlink ref="D120" r:id="rId119" display="http://www.bakeru.edu/" xr:uid="{00000000-0004-0000-0100-000076000000}"/>
    <hyperlink ref="D121" r:id="rId120" display="http://www.baldwinw.edu/" xr:uid="{00000000-0004-0000-0100-000077000000}"/>
    <hyperlink ref="D122" r:id="rId121" display="http://www.bsu.edu/" xr:uid="{00000000-0004-0000-0100-000078000000}"/>
    <hyperlink ref="D123" r:id="rId122" display="http://www.bhu.edu/" xr:uid="{00000000-0004-0000-0100-000079000000}"/>
    <hyperlink ref="D124" r:id="rId123" display="http://www.bic.edu/" xr:uid="{00000000-0004-0000-0100-00007A000000}"/>
    <hyperlink ref="D125" r:id="rId124" display="http://www.bnkst.edu/" xr:uid="{00000000-0004-0000-0100-00007B000000}"/>
    <hyperlink ref="D126" r:id="rId125" display="http://www.bbcnet.edu/" xr:uid="{00000000-0004-0000-0100-00007C000000}"/>
    <hyperlink ref="D127" r:id="rId126" display="http://www.bbc.edu/" xr:uid="{00000000-0004-0000-0100-00007D000000}"/>
    <hyperlink ref="D128" r:id="rId127" display="http://www.barat.edu/" xr:uid="{00000000-0004-0000-0100-00007E000000}"/>
    <hyperlink ref="D129" r:id="rId128" display="http://www.b-sc.edu/" xr:uid="{00000000-0004-0000-0100-00007F000000}"/>
    <hyperlink ref="D130" r:id="rId129" display="http://www.barclaycollege.edu/" xr:uid="{00000000-0004-0000-0100-000080000000}"/>
    <hyperlink ref="D131" r:id="rId130" display="http://www.bard.edu/" xr:uid="{00000000-0004-0000-0100-000081000000}"/>
    <hyperlink ref="D132" r:id="rId131" display="http://www.bard.edu/graduate/BGC/intro.html" xr:uid="{00000000-0004-0000-0100-000082000000}"/>
    <hyperlink ref="D133" r:id="rId132" display="http://www.barnard.edu/" xr:uid="{00000000-0004-0000-0100-000083000000}"/>
    <hyperlink ref="D134" r:id="rId133" display="http://www.barry.edu/" xr:uid="{00000000-0004-0000-0100-000084000000}"/>
    <hyperlink ref="D135" r:id="rId134" display="http://www.bwc.edu/" xr:uid="{00000000-0004-0000-0100-000085000000}"/>
    <hyperlink ref="D136" r:id="rId135" display="http://www.barton.edu/" xr:uid="{00000000-0004-0000-0100-000086000000}"/>
    <hyperlink ref="D137" r:id="rId136" display="http://www.bastyr.edu/" xr:uid="{00000000-0004-0000-0100-000087000000}"/>
    <hyperlink ref="D138" r:id="rId137" display="http://www.bates.edu/" xr:uid="{00000000-0004-0000-0100-000088000000}"/>
    <hyperlink ref="D139" r:id="rId138" display="http://www.bauder.edu/" xr:uid="{00000000-0004-0000-0100-000089000000}"/>
    <hyperlink ref="D140" r:id="rId139" display="http://www.tambcd.edu/" xr:uid="{00000000-0004-0000-0100-00008A000000}"/>
    <hyperlink ref="D141" r:id="rId140" display="http://www.bcm.tmc.edu/" xr:uid="{00000000-0004-0000-0100-00008B000000}"/>
    <hyperlink ref="D142" r:id="rId141" display="http://www.baylor.edu/" xr:uid="{00000000-0004-0000-0100-00008C000000}"/>
    <hyperlink ref="D143" r:id="rId142" display="http://www.belhaven.edu/" xr:uid="{00000000-0004-0000-0100-00008D000000}"/>
    <hyperlink ref="D144" r:id="rId143" display="http://www.bellarmine.edu/" xr:uid="{00000000-0004-0000-0100-00008E000000}"/>
    <hyperlink ref="D145" r:id="rId144" display="http://www.bellevue.edu/" xr:uid="{00000000-0004-0000-0100-00008F000000}"/>
    <hyperlink ref="D146" r:id="rId145" display="http://www.bellin.org/bcn/" xr:uid="{00000000-0004-0000-0100-000090000000}"/>
    <hyperlink ref="D147" r:id="rId146" display="http://www.bac.edu/" xr:uid="{00000000-0004-0000-0100-000091000000}"/>
    <hyperlink ref="D148" r:id="rId147" display="http://www.belmont.edu/" xr:uid="{00000000-0004-0000-0100-000092000000}"/>
    <hyperlink ref="D149" r:id="rId148" display="http://www.beloit.edu/" xr:uid="{00000000-0004-0000-0100-000093000000}"/>
    <hyperlink ref="D150" r:id="rId149" display="http://www.bemidji.msus.edu/" xr:uid="{00000000-0004-0000-0100-000094000000}"/>
    <hyperlink ref="D151" r:id="rId150" display="http://www.benedict.edu/" xr:uid="{00000000-0004-0000-0100-000095000000}"/>
    <hyperlink ref="D152" r:id="rId151" display="http://www.benedictine.edu/" xr:uid="{00000000-0004-0000-0100-000096000000}"/>
    <hyperlink ref="D153" r:id="rId152" display="http://www.ben.edu/" xr:uid="{00000000-0004-0000-0100-000097000000}"/>
    <hyperlink ref="E154" r:id="rId153" display="http://www.sci.edu/" xr:uid="{00000000-0004-0000-0100-000098000000}"/>
    <hyperlink ref="D155" r:id="rId154" display="http://www.bennett.edu/" xr:uid="{00000000-0004-0000-0100-000099000000}"/>
    <hyperlink ref="D156" r:id="rId155" display="http://www.bennington.edu/" xr:uid="{00000000-0004-0000-0100-00009A000000}"/>
    <hyperlink ref="D157" r:id="rId156" display="http://www.bentley.edu/" xr:uid="{00000000-0004-0000-0100-00009B000000}"/>
    <hyperlink ref="D158" r:id="rId157" display="http://www.berea.edu/" xr:uid="{00000000-0004-0000-0100-00009C000000}"/>
    <hyperlink ref="D159" r:id="rId158" display="http://www.berean.edu/" xr:uid="{00000000-0004-0000-0100-00009D000000}"/>
    <hyperlink ref="D160" r:id="rId159" display="http://www.berklee.edu/" xr:uid="{00000000-0004-0000-0100-00009E000000}"/>
    <hyperlink ref="D161" r:id="rId160" display="http://www.berne.edu/" xr:uid="{00000000-0004-0000-0100-00009F000000}"/>
    <hyperlink ref="D162" r:id="rId161" display="http://www.berry.edu/" xr:uid="{00000000-0004-0000-0100-0000A0000000}"/>
    <hyperlink ref="D163" r:id="rId162" display="http://www.bethany.edu/" xr:uid="{00000000-0004-0000-0100-0000A1000000}"/>
    <hyperlink ref="D164" r:id="rId163" display="http://www.bethanylb.edu/" xr:uid="{00000000-0004-0000-0100-0000A2000000}"/>
    <hyperlink ref="D165" r:id="rId164" display="http://www.bethany.wvnet.edu/" xr:uid="{00000000-0004-0000-0100-0000A3000000}"/>
    <hyperlink ref="D166" r:id="rId165" display="http://www.bethel-college.edu/" xr:uid="{00000000-0004-0000-0100-0000A4000000}"/>
    <hyperlink ref="D167" r:id="rId166" display="http://www.bethel-in.edu/" xr:uid="{00000000-0004-0000-0100-0000A5000000}"/>
    <hyperlink ref="D168" r:id="rId167" display="http://www.bethelks.edu/" xr:uid="{00000000-0004-0000-0100-0000A6000000}"/>
    <hyperlink ref="D169" r:id="rId168" display="http://www.uccs.edu/~bethel/" xr:uid="{00000000-0004-0000-0100-0000A7000000}"/>
    <hyperlink ref="D170" r:id="rId169" display="http://www.bethel.edu/" xr:uid="{00000000-0004-0000-0100-0000A8000000}"/>
    <hyperlink ref="D171" r:id="rId170" display="http://www.bethune.cookman.edu/" xr:uid="{00000000-0004-0000-0100-0000A9000000}"/>
    <hyperlink ref="D172" r:id="rId171" display="http://www.biola.edu/" xr:uid="{00000000-0004-0000-0100-0000AA000000}"/>
    <hyperlink ref="D173" r:id="rId172" display="http://www.bsc.edu/" xr:uid="{00000000-0004-0000-0100-0000AB000000}"/>
    <hyperlink ref="D174" r:id="rId173" display="http://www.blackburn.edu/" xr:uid="{00000000-0004-0000-0100-0000AC000000}"/>
    <hyperlink ref="D175" r:id="rId174" display="http://www.bhc.edu/" xr:uid="{00000000-0004-0000-0100-0000AD000000}"/>
    <hyperlink ref="D176" r:id="rId175" display="http://www.bhsu.edu/" xr:uid="{00000000-0004-0000-0100-0000AE000000}"/>
    <hyperlink ref="D177" r:id="rId176" display="http://www.brcn.edu/" xr:uid="{00000000-0004-0000-0100-0000AF000000}"/>
    <hyperlink ref="D178" r:id="rId177" display="http://www.bloomfield.edu/" xr:uid="{00000000-0004-0000-0100-0000B0000000}"/>
    <hyperlink ref="D179" r:id="rId178" display="http://www.bloomu.edu/" xr:uid="{00000000-0004-0000-0100-0000B1000000}"/>
    <hyperlink ref="D180" r:id="rId179" display="http://www.bluefield.edu/" xr:uid="{00000000-0004-0000-0100-0000B2000000}"/>
    <hyperlink ref="D181" r:id="rId180" display="http://www.bluefield.wvnet.edu/" xr:uid="{00000000-0004-0000-0100-0000B3000000}"/>
    <hyperlink ref="D182" r:id="rId181" display="http://www.bmc.edu/" xr:uid="{00000000-0004-0000-0100-0000B4000000}"/>
    <hyperlink ref="D183" r:id="rId182" display="http://www.bluffton.edu/" xr:uid="{00000000-0004-0000-0100-0000B5000000}"/>
    <hyperlink ref="D184" r:id="rId183" display="http://www.bju.edu/" xr:uid="{00000000-0004-0000-0100-0000B6000000}"/>
    <hyperlink ref="D185" r:id="rId184" display="http://www.boisebible.edu/" xr:uid="{00000000-0004-0000-0100-0000B7000000}"/>
    <hyperlink ref="D186" r:id="rId185" display="http://www.boisestate.edu/" xr:uid="{00000000-0004-0000-0100-0000B8000000}"/>
    <hyperlink ref="D187" r:id="rId186" display="http://www.boricuacollege.edu/" xr:uid="{00000000-0004-0000-0100-0000B9000000}"/>
    <hyperlink ref="D188" r:id="rId187" display="http://www.the-bac.edu/" xr:uid="{00000000-0004-0000-0100-0000BA000000}"/>
    <hyperlink ref="D189" r:id="rId188" display="http://www.bc.edu/" xr:uid="{00000000-0004-0000-0100-0000BB000000}"/>
    <hyperlink ref="D190" r:id="rId189" display="http://www.bu.edu/" xr:uid="{00000000-0004-0000-0100-0000BC000000}"/>
    <hyperlink ref="D191" r:id="rId190" display="http://www.bowdoin.edu/" xr:uid="{00000000-0004-0000-0100-0000BD000000}"/>
    <hyperlink ref="D192" r:id="rId191" display="http://www.bowiestate.edu/" xr:uid="{00000000-0004-0000-0100-0000BE000000}"/>
    <hyperlink ref="D193" r:id="rId192" display="http://www.bgsu.edu/" xr:uid="{00000000-0004-0000-0100-0000BF000000}"/>
    <hyperlink ref="E194" r:id="rId193" display="http://www.firelands.bgsu.edu/" xr:uid="{00000000-0004-0000-0100-0000C0000000}"/>
    <hyperlink ref="D195" r:id="rId194" display="http://www.bradley.edu/" xr:uid="{00000000-0004-0000-0100-0000C1000000}"/>
    <hyperlink ref="D196" r:id="rId195" display="http://www.brandeis.edu/" xr:uid="{00000000-0004-0000-0100-0000C2000000}"/>
    <hyperlink ref="D197" r:id="rId196" display="http://www.brandman.edu/" xr:uid="{00000000-0004-0000-0100-0000C3000000}"/>
    <hyperlink ref="D198" r:id="rId197" display="http://www.brenau.edu/" xr:uid="{00000000-0004-0000-0100-0000C4000000}"/>
    <hyperlink ref="D199" r:id="rId198" display="http://www.brescia.edu/" xr:uid="{00000000-0004-0000-0100-0000C5000000}"/>
    <hyperlink ref="D200" r:id="rId199" display="http://www.brevard.edu/" xr:uid="{00000000-0004-0000-0100-0000C6000000}"/>
    <hyperlink ref="D201" r:id="rId200" display="http://www.bpc.edu/" xr:uid="{00000000-0004-0000-0100-0000C7000000}"/>
    <hyperlink ref="D202" r:id="rId201" display="http://www.breyerstate.com/" xr:uid="{00000000-0004-0000-0100-0000C8000000}"/>
    <hyperlink ref="D203" r:id="rId202" display="http://www.briar-cliff.edu/" xr:uid="{00000000-0004-0000-0100-0000C9000000}"/>
    <hyperlink ref="D204" r:id="rId203" display="http://www.bridgewater.edu/" xr:uid="{00000000-0004-0000-0100-0000CA000000}"/>
    <hyperlink ref="D205" r:id="rId204" display="http://www.bridgew.edu/" xr:uid="{00000000-0004-0000-0100-0000CB000000}"/>
    <hyperlink ref="D206" r:id="rId205" display="http://www.byui.edu/" xr:uid="{00000000-0004-0000-0100-0000CC000000}"/>
    <hyperlink ref="D207" r:id="rId206" display="http://www.byu.edu/" xr:uid="{00000000-0004-0000-0100-0000CD000000}"/>
    <hyperlink ref="D208" r:id="rId207" display="http://www.byuh.edu/" xr:uid="{00000000-0004-0000-0100-0000CE000000}"/>
    <hyperlink ref="D209" r:id="rId208" display="http://www.brooklaw.edu/" xr:uid="{00000000-0004-0000-0100-0000CF000000}"/>
    <hyperlink ref="D210" r:id="rId209" display="http://www.brooks.edu/" xr:uid="{00000000-0004-0000-0100-0000D0000000}"/>
    <hyperlink ref="D211" r:id="rId210" display="http://www.brown.edu/" xr:uid="{00000000-0004-0000-0100-0000D1000000}"/>
    <hyperlink ref="D212" r:id="rId211" display="http://www.brunswickcc.edu/" xr:uid="{00000000-0004-0000-0100-0000D2000000}"/>
    <hyperlink ref="D213" r:id="rId212" display="http://www.bryan.edu/" xr:uid="{00000000-0004-0000-0100-0000D3000000}"/>
    <hyperlink ref="D214" r:id="rId213" display="http://www.bryantstratton.edu/" xr:uid="{00000000-0004-0000-0100-0000D4000000}"/>
    <hyperlink ref="D215" r:id="rId214" display="http://www.bryant.edu/" xr:uid="{00000000-0004-0000-0100-0000D5000000}"/>
    <hyperlink ref="D216" r:id="rId215" display="http://www.newchurch.edu/college/" xr:uid="{00000000-0004-0000-0100-0000D6000000}"/>
    <hyperlink ref="D217" r:id="rId216" display="http://www.brynmawr.edu/" xr:uid="{00000000-0004-0000-0100-0000D7000000}"/>
    <hyperlink ref="D218" r:id="rId217" display="http://www.bucknell.edu/" xr:uid="{00000000-0004-0000-0100-0000D8000000}"/>
    <hyperlink ref="D219" r:id="rId218" display="http://www.bvu.edu/" xr:uid="{00000000-0004-0000-0100-0000D9000000}"/>
    <hyperlink ref="D220" r:id="rId219" display="http://www.burlcol.edu/" xr:uid="{00000000-0004-0000-0100-0000DA000000}"/>
    <hyperlink ref="D221" r:id="rId220" display="http://www.butler.edu/" xr:uid="{00000000-0004-0000-0100-0000DB000000}"/>
    <hyperlink ref="D222" r:id="rId221" display="http://www.cabrini.edu/" xr:uid="{00000000-0004-0000-0100-0000DC000000}"/>
    <hyperlink ref="D223" r:id="rId222" display="http://www.caldwell.edu/" xr:uid="{00000000-0004-0000-0100-0000DD000000}"/>
    <hyperlink ref="D224" r:id="rId223" display="http://www.calbaptist.edu/" xr:uid="{00000000-0004-0000-0100-0000DE000000}"/>
    <hyperlink ref="D225" r:id="rId224" display="http://www.calcoast.edu/" xr:uid="{00000000-0004-0000-0100-0000DF000000}"/>
    <hyperlink ref="D226" r:id="rId225" display="http://www.cchs.edu/" xr:uid="{00000000-0004-0000-0100-0000E0000000}"/>
    <hyperlink ref="D227" r:id="rId226" display="http://www.ccac-art.edu/" xr:uid="{00000000-0004-0000-0100-0000E1000000}"/>
    <hyperlink ref="D228" r:id="rId227" display="http://www.ccpm.edu/" xr:uid="{00000000-0004-0000-0100-0000E2000000}"/>
    <hyperlink ref="D229" r:id="rId228" display="http://www.cc-sd.edu/" xr:uid="{00000000-0004-0000-0100-0000E3000000}"/>
    <hyperlink ref="D230" r:id="rId229" display="http://www.ciis.edu/" xr:uid="{00000000-0004-0000-0100-0000E4000000}"/>
    <hyperlink ref="D231" r:id="rId230" display="http://www.caltech.edu/" xr:uid="{00000000-0004-0000-0100-0000E5000000}"/>
    <hyperlink ref="D232" r:id="rId231" display="http://www.calarts.edu/" xr:uid="{00000000-0004-0000-0100-0000E6000000}"/>
    <hyperlink ref="D233" r:id="rId232" display="http://www.callutheran.edu/" xr:uid="{00000000-0004-0000-0100-0000E7000000}"/>
    <hyperlink ref="D234" r:id="rId233" display="http://www.csum.edu/" xr:uid="{00000000-0004-0000-0100-0000E8000000}"/>
    <hyperlink ref="D235" r:id="rId234" display="http://www.calpoly.edu/" xr:uid="{00000000-0004-0000-0100-0000E9000000}"/>
    <hyperlink ref="D236" r:id="rId235" display="http://www.cspp.edu/" xr:uid="{00000000-0004-0000-0100-0000EA000000}"/>
    <hyperlink ref="D237" r:id="rId236" display="http://www.cspp.edu/catalog/8.htm" xr:uid="{00000000-0004-0000-0100-0000EB000000}"/>
    <hyperlink ref="D238" r:id="rId237" display="http://www.cspp.edu/catalog/9.htm" xr:uid="{00000000-0004-0000-0100-0000EC000000}"/>
    <hyperlink ref="D239" r:id="rId238" display="http://www.cspp.edu/catalog/10.htm" xr:uid="{00000000-0004-0000-0100-0000ED000000}"/>
    <hyperlink ref="D240" r:id="rId239" display="http://www.csupomona.edu/" xr:uid="{00000000-0004-0000-0100-0000EE000000}"/>
    <hyperlink ref="E241" r:id="rId240" display="http://www.csubak.edu/" xr:uid="{00000000-0004-0000-0100-0000EF000000}"/>
    <hyperlink ref="E242" r:id="rId241" display="http://www.csuci.edu/" xr:uid="{00000000-0004-0000-0100-0000F0000000}"/>
    <hyperlink ref="E243" r:id="rId242" display="http://www.csuchico.edu/" xr:uid="{00000000-0004-0000-0100-0000F1000000}"/>
    <hyperlink ref="E244" r:id="rId243" display="http://www.csudh.edu/" xr:uid="{00000000-0004-0000-0100-0000F2000000}"/>
    <hyperlink ref="E245" r:id="rId244" display="http://www.csufresno.edu/" xr:uid="{00000000-0004-0000-0100-0000F3000000}"/>
    <hyperlink ref="E246" r:id="rId245" display="http://www.fullerton.edu/" xr:uid="{00000000-0004-0000-0100-0000F4000000}"/>
    <hyperlink ref="E247" r:id="rId246" display="http://www.csuhayward.edu/" xr:uid="{00000000-0004-0000-0100-0000F5000000}"/>
    <hyperlink ref="E248" r:id="rId247" display="http://www.csulb.edu/" xr:uid="{00000000-0004-0000-0100-0000F6000000}"/>
    <hyperlink ref="E249" r:id="rId248" display="http://www.calstatela.edu/" xr:uid="{00000000-0004-0000-0100-0000F7000000}"/>
    <hyperlink ref="E250" r:id="rId249" display="http://www.monterey.edu/" xr:uid="{00000000-0004-0000-0100-0000F8000000}"/>
    <hyperlink ref="E251" r:id="rId250" display="http://www.csun.edu/" xr:uid="{00000000-0004-0000-0100-0000F9000000}"/>
    <hyperlink ref="E252" r:id="rId251" display="http://www.csus.edu/" xr:uid="{00000000-0004-0000-0100-0000FA000000}"/>
    <hyperlink ref="E253" r:id="rId252" display="http://www.csusb.edu/" xr:uid="{00000000-0004-0000-0100-0000FB000000}"/>
    <hyperlink ref="E254" r:id="rId253" display="http://www.csusm.edu/" xr:uid="{00000000-0004-0000-0100-0000FC000000}"/>
    <hyperlink ref="E255" r:id="rId254" display="http://www.csustan.edu/" xr:uid="{00000000-0004-0000-0100-0000FD000000}"/>
    <hyperlink ref="D256" r:id="rId255" display="http://cauniversity.edu.cufce.org/" xr:uid="{00000000-0004-0000-0100-0000FE000000}"/>
    <hyperlink ref="D257" r:id="rId256" display="http://www.cup.edu/" xr:uid="{00000000-0004-0000-0100-0000FF000000}"/>
    <hyperlink ref="D258" r:id="rId257" display="http://www.cwsl.edu/" xr:uid="{00000000-0004-0000-0100-000000010000}"/>
    <hyperlink ref="D259" r:id="rId258" display="http://www.ccsj.edu/" xr:uid="{00000000-0004-0000-0100-000001010000}"/>
    <hyperlink ref="D260" r:id="rId259" display="http://www.calvary.edu/" xr:uid="{00000000-0004-0000-0100-000002010000}"/>
    <hyperlink ref="D261" r:id="rId260" display="http://www.calvin.edu/" xr:uid="{00000000-0004-0000-0100-000003010000}"/>
    <hyperlink ref="D262" r:id="rId261" display="http://www.cambridge.edu/" xr:uid="{00000000-0004-0000-0100-000004010000}"/>
    <hyperlink ref="D263" r:id="rId262" display="http://www.cameron.edu/" xr:uid="{00000000-0004-0000-0100-000005010000}"/>
    <hyperlink ref="D264" r:id="rId263" display="http://www.campbellsvil.edu/" xr:uid="{00000000-0004-0000-0100-000006010000}"/>
    <hyperlink ref="D265" r:id="rId264" display="http://www.campbell.edu/" xr:uid="{00000000-0004-0000-0100-000007010000}"/>
    <hyperlink ref="D266" r:id="rId265" display="http://www.canisius.edu/" xr:uid="{00000000-0004-0000-0100-000008010000}"/>
    <hyperlink ref="D267" r:id="rId266" display="http://www.capella.edu/" xr:uid="{00000000-0004-0000-0100-000009010000}"/>
    <hyperlink ref="D268" r:id="rId267" display="http://www.capital.edu/" xr:uid="{00000000-0004-0000-0100-00000A010000}"/>
    <hyperlink ref="D269" r:id="rId268" display="http://www.law.capital.edu/" xr:uid="{00000000-0004-0000-0100-00000B010000}"/>
    <hyperlink ref="D270" r:id="rId269" display="http://www.capitol-college.edu/" xr:uid="{00000000-0004-0000-0100-00000C010000}"/>
    <hyperlink ref="D271" r:id="rId270" display="http://www.stritch.edu/" xr:uid="{00000000-0004-0000-0100-00000D010000}"/>
    <hyperlink ref="D272" r:id="rId271" display="http://www.carleton.edu/" xr:uid="{00000000-0004-0000-0100-00000E010000}"/>
    <hyperlink ref="D273" r:id="rId272" display="http://www.albizu.edu/" xr:uid="{00000000-0004-0000-0100-00000F010000}"/>
    <hyperlink ref="D274" r:id="rId273" display="http://www.carlow.edu/" xr:uid="{00000000-0004-0000-0100-000010010000}"/>
    <hyperlink ref="D275" r:id="rId274" display="http://www.cmu.edu/" xr:uid="{00000000-0004-0000-0100-000011010000}"/>
    <hyperlink ref="D276" r:id="rId275" display="http://www.carroll.edu/" xr:uid="{00000000-0004-0000-0100-000012010000}"/>
    <hyperlink ref="D277" r:id="rId276" display="http://www.cc.edu/" xr:uid="{00000000-0004-0000-0100-000013010000}"/>
    <hyperlink ref="D278" r:id="rId277" display="http://www.cn.edu/" xr:uid="{00000000-0004-0000-0100-000014010000}"/>
    <hyperlink ref="D279" r:id="rId278" display="http://www.carthage.edu/" xr:uid="{00000000-0004-0000-0100-000015010000}"/>
    <hyperlink ref="D280" r:id="rId279" display="http://www.cwru.edu/" xr:uid="{00000000-0004-0000-0100-000016010000}"/>
    <hyperlink ref="D281" r:id="rId280" display="http://www.csc.vsc.edu/" xr:uid="{00000000-0004-0000-0100-000017010000}"/>
    <hyperlink ref="D282" r:id="rId281" display="http://www.catawba.edu/" xr:uid="{00000000-0004-0000-0100-000018010000}"/>
    <hyperlink ref="D283" r:id="rId282" display="http://www.ctu.edu/" xr:uid="{00000000-0004-0000-0100-000019010000}"/>
    <hyperlink ref="D284" r:id="rId283" display="http://www.cedarcrest.edu/" xr:uid="{00000000-0004-0000-0100-00001A010000}"/>
    <hyperlink ref="D285" r:id="rId284" display="http://www.cedarville.edu/" xr:uid="{00000000-0004-0000-0100-00001B010000}"/>
    <hyperlink ref="D286" r:id="rId285" display="http://www.centenarycollege.edu/" xr:uid="{00000000-0004-0000-0100-00001C010000}"/>
    <hyperlink ref="D287" r:id="rId286" display="http://www.centenary.edu/" xr:uid="{00000000-0004-0000-0100-00001D010000}"/>
    <hyperlink ref="D288" r:id="rId287" display="http://www.humanpsych.edu/" xr:uid="{00000000-0004-0000-0100-00001E010000}"/>
    <hyperlink ref="D289" r:id="rId288" display="http://www.cbc.edu/" xr:uid="{00000000-0004-0000-0100-00001F010000}"/>
    <hyperlink ref="D290" r:id="rId289" display="http://www.cbcag.edu/" xr:uid="{00000000-0004-0000-0100-000020010000}"/>
    <hyperlink ref="D291" r:id="rId290" display="http://www.cccb.edu/" xr:uid="{00000000-0004-0000-0100-000021010000}"/>
    <hyperlink ref="D292" r:id="rId291" display="http://www.central.edu/" xr:uid="{00000000-0004-0000-0100-000022010000}"/>
    <hyperlink ref="D293" r:id="rId292" display="http://www.ccsu.edu/" xr:uid="{00000000-0004-0000-0100-000023010000}"/>
    <hyperlink ref="D294" r:id="rId293" display="http://www.cmc.edu/" xr:uid="{00000000-0004-0000-0100-000024010000}"/>
    <hyperlink ref="D295" r:id="rId294" display="http://www.cmich.edu/" xr:uid="{00000000-0004-0000-0100-000025010000}"/>
    <hyperlink ref="D296" r:id="rId295" display="http://www.centralstate.edu/" xr:uid="{00000000-0004-0000-0100-000026010000}"/>
    <hyperlink ref="D297" r:id="rId296" display="http://www.cwu.edu/" xr:uid="{00000000-0004-0000-0100-000027010000}"/>
    <hyperlink ref="D298" r:id="rId297" display="http://www.centre.edu/" xr:uid="{00000000-0004-0000-0100-000028010000}"/>
    <hyperlink ref="D299" r:id="rId298" display="http://www.csc.edu/" xr:uid="{00000000-0004-0000-0100-000029010000}"/>
    <hyperlink ref="D300" r:id="rId299" display="http://www.chaminade.edu/" xr:uid="{00000000-0004-0000-0100-00002A010000}"/>
    <hyperlink ref="D301" r:id="rId300" display="http://www.champlain.edu/" xr:uid="{00000000-0004-0000-0100-00002B010000}"/>
    <hyperlink ref="D302" r:id="rId301" display="http://www.chapman.edu/" xr:uid="{00000000-0004-0000-0100-00002C010000}"/>
    <hyperlink ref="D303" r:id="rId302" display="http://www.cdrewu.edu/" xr:uid="{00000000-0004-0000-0100-00002D010000}"/>
    <hyperlink ref="D304" r:id="rId303" display="http://www.csuniv.edu/" xr:uid="{00000000-0004-0000-0100-00002E010000}"/>
    <hyperlink ref="D305" r:id="rId304" display="http://www.cosc.edu/" xr:uid="{00000000-0004-0000-0100-00002F010000}"/>
    <hyperlink ref="D306" r:id="rId305" display="http://www.chatham.edu/" xr:uid="{00000000-0004-0000-0100-000030010000}"/>
    <hyperlink ref="D307" r:id="rId306" display="http://www.chc.edu/" xr:uid="{00000000-0004-0000-0100-000031010000}"/>
    <hyperlink ref="D308" r:id="rId307" display="http://www.cheyney.edu/" xr:uid="{00000000-0004-0000-0100-000032010000}"/>
    <hyperlink ref="D309" r:id="rId308" display="http://www.csu.edu/" xr:uid="{00000000-0004-0000-0100-000033010000}"/>
    <hyperlink ref="D310" r:id="rId309" display="http://www.chowan.edu/" xr:uid="{00000000-0004-0000-0100-000034010000}"/>
    <hyperlink ref="D311" r:id="rId310" display="http://www.christendom.edu/" xr:uid="{00000000-0004-0000-0100-000035010000}"/>
    <hyperlink ref="D312" r:id="rId311" display="http://www.cbu.edu/" xr:uid="{00000000-0004-0000-0100-000036010000}"/>
    <hyperlink ref="D313" r:id="rId312" display="http://www.christianheritage.edu/" xr:uid="{00000000-0004-0000-0100-000037010000}"/>
    <hyperlink ref="D314" r:id="rId313" display="http://www.cnu.edu/" xr:uid="{00000000-0004-0000-0100-000038010000}"/>
    <hyperlink ref="D315" r:id="rId314" display="http://www.biblecollege.edu/" xr:uid="{00000000-0004-0000-0100-000039010000}"/>
    <hyperlink ref="D316" r:id="rId315" display="http://www.cityu.edu/" xr:uid="{00000000-0004-0000-0100-00003A010000}"/>
    <hyperlink ref="E317" r:id="rId316" display="http://www.baruch.cuny.edu/" xr:uid="{00000000-0004-0000-0100-00003B010000}"/>
    <hyperlink ref="E318" r:id="rId317" display="http://www.brooklyn.cuny.edu/" xr:uid="{00000000-0004-0000-0100-00003C010000}"/>
    <hyperlink ref="E319" r:id="rId318" display="http://www.ccny.cuny.edu/" xr:uid="{00000000-0004-0000-0100-00003D010000}"/>
    <hyperlink ref="E320" r:id="rId319" display="http://www.csi.cuny.edu/" xr:uid="{00000000-0004-0000-0100-00003E010000}"/>
    <hyperlink ref="D321" r:id="rId320" display="http://www.cuny.edu/" xr:uid="{00000000-0004-0000-0100-00003F010000}"/>
    <hyperlink ref="E322" r:id="rId321" display="http://www.gc.cuny.edu/" xr:uid="{00000000-0004-0000-0100-000040010000}"/>
    <hyperlink ref="E323" r:id="rId322" display="http://www.hunter.cuny.edu/" xr:uid="{00000000-0004-0000-0100-000041010000}"/>
    <hyperlink ref="E324" r:id="rId323" display="http://www.jjay.cuny.edu/" xr:uid="{00000000-0004-0000-0100-000042010000}"/>
    <hyperlink ref="E325" r:id="rId324" display="http://www.lehman.cuny.edu/" xr:uid="{00000000-0004-0000-0100-000043010000}"/>
    <hyperlink ref="E326" r:id="rId325" display="http://www.mec.cuny.edu/" xr:uid="{00000000-0004-0000-0100-000044010000}"/>
    <hyperlink ref="D327" r:id="rId326" display="http://med.cuny.edu/" xr:uid="{00000000-0004-0000-0100-000045010000}"/>
    <hyperlink ref="E328" r:id="rId327" display="http://www.nyctc.cuny.edu/" xr:uid="{00000000-0004-0000-0100-000046010000}"/>
    <hyperlink ref="E329" r:id="rId328" display="http://www.qc.edu/" xr:uid="{00000000-0004-0000-0100-000047010000}"/>
    <hyperlink ref="E330" r:id="rId329" display="http://www.law.cuny.edu/" xr:uid="{00000000-0004-0000-0100-000048010000}"/>
    <hyperlink ref="E331" r:id="rId330" display="http://www.york.cuny.edu/" xr:uid="{00000000-0004-0000-0100-000049010000}"/>
    <hyperlink ref="D332" r:id="rId331" display="http://www.scicu.org/claflin/" xr:uid="{00000000-0004-0000-0100-00004A010000}"/>
    <hyperlink ref="D333" r:id="rId332" display="http://www.cgu.edu/" xr:uid="{00000000-0004-0000-0100-00004B010000}"/>
    <hyperlink ref="D334" r:id="rId333" display="http://www.claremontlincoln.org/" xr:uid="{00000000-0004-0000-0100-00004C010000}"/>
    <hyperlink ref="D335" r:id="rId334" display="http://www.mckenna.edu/" xr:uid="{00000000-0004-0000-0100-00004D010000}"/>
    <hyperlink ref="D336" r:id="rId335" display="http://www.clarion.edu/" xr:uid="{00000000-0004-0000-0100-00004E010000}"/>
    <hyperlink ref="D337" r:id="rId336" display="http://www.cau.edu/" xr:uid="{00000000-0004-0000-0100-00004F010000}"/>
    <hyperlink ref="D338" r:id="rId337" display="http://www.clarke.edu/" xr:uid="{00000000-0004-0000-0100-000050010000}"/>
    <hyperlink ref="D339" r:id="rId338" display="http://www.clarksoncollege.edu/" xr:uid="{00000000-0004-0000-0100-000051010000}"/>
    <hyperlink ref="D340" r:id="rId339" display="http://www.clarkson.edu/" xr:uid="{00000000-0004-0000-0100-000052010000}"/>
    <hyperlink ref="D341" r:id="rId340" display="http://www.clarku.edu/" xr:uid="{00000000-0004-0000-0100-000053010000}"/>
    <hyperlink ref="D342" r:id="rId341" display="http://www.clayton.edu/" xr:uid="{00000000-0004-0000-0100-000054010000}"/>
    <hyperlink ref="D343" r:id="rId342" display="http://www.clearwater.edu/" xr:uid="{00000000-0004-0000-0100-000055010000}"/>
    <hyperlink ref="D344" r:id="rId343" display="http://www.cleary.edu/" xr:uid="{00000000-0004-0000-0100-000056010000}"/>
    <hyperlink ref="D345" r:id="rId344" display="http://www.clemson.edu/" xr:uid="{00000000-0004-0000-0100-000057010000}"/>
    <hyperlink ref="E346" r:id="rId345" display="http://www.clevelandchiropractic.edu/" xr:uid="{00000000-0004-0000-0100-000058010000}"/>
    <hyperlink ref="E347" r:id="rId346" display="http://www.clevelandchiropractic.edu/" xr:uid="{00000000-0004-0000-0100-000059010000}"/>
    <hyperlink ref="D348" r:id="rId347" display="http://www.cia.edu/" xr:uid="{00000000-0004-0000-0100-00005A010000}"/>
    <hyperlink ref="D349" r:id="rId348" display="http://www.cim.edu/" xr:uid="{00000000-0004-0000-0100-00005B010000}"/>
    <hyperlink ref="D350" r:id="rId349" display="http://www.csuohio.edu/" xr:uid="{00000000-0004-0000-0100-00005C010000}"/>
    <hyperlink ref="D351" r:id="rId350" display="http://www.coastal.edu/" xr:uid="{00000000-0004-0000-0100-00005D010000}"/>
    <hyperlink ref="D352" r:id="rId351" display="http://www.coe.edu/" xr:uid="{00000000-0004-0000-0100-00005E010000}"/>
    <hyperlink ref="D353" r:id="rId352" display="http://www.cogswell.edu/" xr:uid="{00000000-0004-0000-0100-00005F010000}"/>
    <hyperlink ref="D354" r:id="rId353" display="http://www.coker.edu/" xr:uid="{00000000-0004-0000-0100-000060010000}"/>
    <hyperlink ref="D355" r:id="rId354" display="http://www.colby.edu/" xr:uid="{00000000-0004-0000-0100-000061010000}"/>
    <hyperlink ref="D356" r:id="rId355" display="http://www.colby-sawyer.edu/" xr:uid="{00000000-0004-0000-0100-000062010000}"/>
    <hyperlink ref="D357" r:id="rId356" display="http://www.coleman.edu/" xr:uid="{00000000-0004-0000-0100-000063010000}"/>
    <hyperlink ref="D358" r:id="rId357" display="http://www.colgate.edu/" xr:uid="{00000000-0004-0000-0100-000064010000}"/>
    <hyperlink ref="E359" r:id="rId358" display="http://www.collegeamerica.edu/" xr:uid="{00000000-0004-0000-0100-000065010000}"/>
    <hyperlink ref="E360" r:id="rId359" display="http://www.collegeamerica.edu/" xr:uid="{00000000-0004-0000-0100-000066010000}"/>
    <hyperlink ref="D361" r:id="rId360" display="http://www.ccscad.edu/" xr:uid="{00000000-0004-0000-0100-000067010000}"/>
    <hyperlink ref="D362" r:id="rId361" display="http://www.fp.edu/" xr:uid="{00000000-0004-0000-0100-000068010000}"/>
    <hyperlink ref="D363" r:id="rId362" display="http://www.cll.edu/" xr:uid="{00000000-0004-0000-0100-000069010000}"/>
    <hyperlink ref="D364" r:id="rId363" display="http://www.miseri.edu/" xr:uid="{00000000-0004-0000-0100-00006A010000}"/>
    <hyperlink ref="D365" r:id="rId364" display="http://www.aero.edu/" xr:uid="{00000000-0004-0000-0100-00006B010000}"/>
    <hyperlink ref="D366" r:id="rId365" display="http://www.cofc.edu/" xr:uid="{00000000-0004-0000-0100-00006C010000}"/>
    <hyperlink ref="D367" r:id="rId366" display="http://www.cod.edu/" xr:uid="{00000000-0004-0000-0100-00006D010000}"/>
    <hyperlink ref="D368" r:id="rId367" display="http://www.collegeofidaho.edu/" xr:uid="{00000000-0004-0000-0100-00006E010000}"/>
    <hyperlink ref="D369" r:id="rId368" display="http://www.msj.edu/" xr:uid="{00000000-0004-0000-0100-00006F010000}"/>
    <hyperlink ref="D370" r:id="rId369" display="http://www.cmsv.edu/" xr:uid="{00000000-0004-0000-0100-000070010000}"/>
    <hyperlink ref="D371" r:id="rId370" display="http://www.cnr.edu/" xr:uid="{00000000-0004-0000-0100-000071010000}"/>
    <hyperlink ref="D372" r:id="rId371" display="http://www.cnd.edu/" xr:uid="{00000000-0004-0000-0100-000072010000}"/>
    <hyperlink ref="D373" r:id="rId372" display="http://www.ndm.edu/" xr:uid="{00000000-0004-0000-0100-000073010000}"/>
    <hyperlink ref="D374" r:id="rId373" display="http://www.westernu.edu/comp.html" xr:uid="{00000000-0004-0000-0100-000074010000}"/>
    <hyperlink ref="D375" r:id="rId374" display="http://www.csbsju.edu/" xr:uid="{00000000-0004-0000-0100-000075010000}"/>
    <hyperlink ref="D376" r:id="rId375" display="http://www.stkate.edu/" xr:uid="{00000000-0004-0000-0100-000076010000}"/>
    <hyperlink ref="D377" r:id="rId376" display="http://www.st-elizabeth.edu/" xr:uid="{00000000-0004-0000-0100-000077010000}"/>
    <hyperlink ref="D378" r:id="rId377" display="http://www.csj.edu/" xr:uid="{00000000-0004-0000-0100-000078010000}"/>
    <hyperlink ref="D379" r:id="rId378" display="http://www.csm.edu/" xr:uid="{00000000-0004-0000-0100-000079010000}"/>
    <hyperlink ref="D380" r:id="rId379" display="http://www.strose.edu/" xr:uid="{00000000-0004-0000-0100-00007A010000}"/>
    <hyperlink ref="D381" r:id="rId380" display="http://www.css.edu/" xr:uid="{00000000-0004-0000-0100-00007B010000}"/>
    <hyperlink ref="D382" r:id="rId381" display="http://www.coa.edu/" xr:uid="{00000000-0004-0000-0100-00007C010000}"/>
    <hyperlink ref="D383" r:id="rId382" display="http://www.holycross.edu/" xr:uid="{00000000-0004-0000-0100-00007D010000}"/>
    <hyperlink ref="D384" r:id="rId383" display="http://www.cofo.edu/" xr:uid="{00000000-0004-0000-0100-00007E010000}"/>
    <hyperlink ref="D385" r:id="rId384" display="http://www.cva.edu/" xr:uid="{00000000-0004-0000-0100-00007F010000}"/>
    <hyperlink ref="D386" r:id="rId385" display="http://www.wm.edu/" xr:uid="{00000000-0004-0000-0100-000080010000}"/>
    <hyperlink ref="D387" r:id="rId386" display="http://www.ccu.edu/" xr:uid="{00000000-0004-0000-0100-000081010000}"/>
    <hyperlink ref="D388" r:id="rId387" display="http://www.cc.colorado.edu/" xr:uid="{00000000-0004-0000-0100-000082010000}"/>
    <hyperlink ref="D389" r:id="rId388" display="http://www.mines.edu/" xr:uid="{00000000-0004-0000-0100-000083010000}"/>
    <hyperlink ref="D390" r:id="rId389" display="http://www.colostate.edu/" xr:uid="{00000000-0004-0000-0100-000084010000}"/>
    <hyperlink ref="D391" r:id="rId390" display="http://www.colostate-pueblo.edu/" xr:uid="{00000000-0004-0000-0100-000085010000}"/>
    <hyperlink ref="D392" r:id="rId391" display="http://www.colotechu.edu/" xr:uid="{00000000-0004-0000-0100-000086010000}"/>
    <hyperlink ref="D393" r:id="rId392" display="http://www.colum.edu/" xr:uid="{00000000-0004-0000-0100-000087010000}"/>
    <hyperlink ref="D394" r:id="rId393" display="http://www.columbiacollege.edu/" xr:uid="{00000000-0004-0000-0100-000088010000}"/>
    <hyperlink ref="D395" r:id="rId394" display="http://www.ccis.edu/" xr:uid="{00000000-0004-0000-0100-000089010000}"/>
    <hyperlink ref="D396" r:id="rId395" display="http://www.colacoll.edu/" xr:uid="{00000000-0004-0000-0100-00008A010000}"/>
    <hyperlink ref="D397" r:id="rId396" display="http://www.ccwu.edu/" xr:uid="{00000000-0004-0000-0100-00008B010000}"/>
    <hyperlink ref="D398" r:id="rId397" display="http://www.ciu.edu/" xr:uid="{00000000-0004-0000-0100-00008C010000}"/>
    <hyperlink ref="D399" r:id="rId398" display="http://www.columbiasouthern.edu/" xr:uid="{00000000-0004-0000-0100-00008D010000}"/>
    <hyperlink ref="D400" r:id="rId399" display="http://www.cuc.edu/" xr:uid="{00000000-0004-0000-0100-00008E010000}"/>
    <hyperlink ref="D401" r:id="rId400" display="http://www.columbia.edu/" xr:uid="{00000000-0004-0000-0100-00008F010000}"/>
    <hyperlink ref="D402" r:id="rId401" display="http://www.ccad.edu/" xr:uid="{00000000-0004-0000-0100-000090010000}"/>
    <hyperlink ref="D403" r:id="rId402" display="http://www.colstate.edu/" xr:uid="{00000000-0004-0000-0100-000091010000}"/>
    <hyperlink ref="D404" r:id="rId403" display="http://www.columbusu.com/" xr:uid="{00000000-0004-0000-0100-000092010000}"/>
    <hyperlink ref="D405" r:id="rId404" display="http://ccd.rightchoice.org/" xr:uid="{00000000-0004-0000-0100-000093010000}"/>
    <hyperlink ref="D406" r:id="rId405" display="http://www.concord.edu/" xr:uid="{00000000-0004-0000-0100-000094010000}"/>
    <hyperlink ref="E407" r:id="rId406" display="http://www.ccaa.edu/" xr:uid="{00000000-0004-0000-0100-000095010000}"/>
    <hyperlink ref="E408" r:id="rId407" display="http://www.concordia-ny.edu/" xr:uid="{00000000-0004-0000-0100-000096010000}"/>
    <hyperlink ref="E409" r:id="rId408" display="http://www.cord.edu/" xr:uid="{00000000-0004-0000-0100-000097010000}"/>
    <hyperlink ref="E410" r:id="rId409" display="http://higher-ed.lcms.org/selma.htm" xr:uid="{00000000-0004-0000-0100-000098010000}"/>
    <hyperlink ref="E411" r:id="rId410" display="http://www.cune.edu/" xr:uid="{00000000-0004-0000-0100-000099010000}"/>
    <hyperlink ref="E412" r:id="rId411" display="http://www.csp.edu/" xr:uid="{00000000-0004-0000-0100-00009A010000}"/>
    <hyperlink ref="E413" r:id="rId412" display="http://www.concordia.edu/" xr:uid="{00000000-0004-0000-0100-00009B010000}"/>
    <hyperlink ref="E414" r:id="rId413" display="http://www.cui.edu/" xr:uid="{00000000-0004-0000-0100-00009C010000}"/>
    <hyperlink ref="E415" r:id="rId414" display="http://www.cuw.edu/" xr:uid="{00000000-0004-0000-0100-00009D010000}"/>
    <hyperlink ref="E416" r:id="rId415" display="http://www.cu-portland.edu/" xr:uid="{00000000-0004-0000-0100-00009E010000}"/>
    <hyperlink ref="E417" r:id="rId416" display="http://www.curf.edu/" xr:uid="{00000000-0004-0000-0100-00009F010000}"/>
    <hyperlink ref="D418" r:id="rId417" display="http://www.conncoll.edu/" xr:uid="{00000000-0004-0000-0100-0000A0010000}"/>
    <hyperlink ref="D419" r:id="rId418" display="http://www.converse.edu/" xr:uid="{00000000-0004-0000-0100-0000A1010000}"/>
    <hyperlink ref="D420" r:id="rId419" display="http://www.csld.edu/" xr:uid="{00000000-0004-0000-0100-0000A2010000}"/>
    <hyperlink ref="D421" r:id="rId420" display="http://www.coppin.edu/" xr:uid="{00000000-0004-0000-0100-0000A3010000}"/>
    <hyperlink ref="D422" r:id="rId421" display="http://www.cornell-iowa.edu/" xr:uid="{00000000-0004-0000-0100-0000A4010000}"/>
    <hyperlink ref="D423" r:id="rId422" display="http://www.cornell.edu/" xr:uid="{00000000-0004-0000-0100-0000A5010000}"/>
    <hyperlink ref="D424" r:id="rId423" display="http://www.cornish.edu/" xr:uid="{00000000-0004-0000-0100-0000A6010000}"/>
    <hyperlink ref="D425" r:id="rId424" display="http://www.cosmoedu.net/" xr:uid="{00000000-0004-0000-0100-0000A7010000}"/>
    <hyperlink ref="D426" r:id="rId425" display="http://www.covenant.edu/" xr:uid="{00000000-0004-0000-0100-0000A8010000}"/>
    <hyperlink ref="D427" r:id="rId426" display="http://www.cranbrookart.edu/" xr:uid="{00000000-0004-0000-0100-0000A9010000}"/>
    <hyperlink ref="D428" r:id="rId427" display="http://www.creighton.edu/" xr:uid="{00000000-0004-0000-0100-0000AA010000}"/>
    <hyperlink ref="D429" r:id="rId428" display="http://www.crichton.edu/" xr:uid="{00000000-0004-0000-0100-0000AB010000}"/>
    <hyperlink ref="D430" r:id="rId429" display="http://www.crown.edu/" xr:uid="{00000000-0004-0000-0100-0000AC010000}"/>
    <hyperlink ref="D431" r:id="rId430" display="http://www.culver.edu/" xr:uid="{00000000-0004-0000-0100-0000AD010000}"/>
    <hyperlink ref="D432" r:id="rId431" display="http://www.cumber.edu/" xr:uid="{00000000-0004-0000-0100-0000AE010000}"/>
    <hyperlink ref="D433" r:id="rId432" display="http://www.cumberland.edu/" xr:uid="{00000000-0004-0000-0100-0000AF010000}"/>
    <hyperlink ref="D434" r:id="rId433" display="http://www.curry.edu:8080/" xr:uid="{00000000-0004-0000-0100-0000B0010000}"/>
    <hyperlink ref="D435" r:id="rId434" display="http://www.daemen.edu/" xr:uid="{00000000-0004-0000-0100-0000B1010000}"/>
    <hyperlink ref="D436" r:id="rId435" display="http://www.dsu.edu/" xr:uid="{00000000-0004-0000-0100-0000B2010000}"/>
    <hyperlink ref="D437" r:id="rId436" display="http://www.dwu.edu/" xr:uid="{00000000-0004-0000-0100-0000B3010000}"/>
    <hyperlink ref="D438" r:id="rId437" display="http://www.dbu.edu/" xr:uid="{00000000-0004-0000-0100-0000B4010000}"/>
    <hyperlink ref="D439" r:id="rId438" display="http://www.dallas.edu/" xr:uid="{00000000-0004-0000-0100-0000B5010000}"/>
    <hyperlink ref="D440" r:id="rId439" display="http://www.dana.edu/" xr:uid="{00000000-0004-0000-0100-0000B6010000}"/>
    <hyperlink ref="D441" r:id="rId440" display="http://www.dwc.edu/" xr:uid="{00000000-0004-0000-0100-0000B7010000}"/>
    <hyperlink ref="D442" r:id="rId441" display="http://www.dacc.cc.il.us/" xr:uid="{00000000-0004-0000-0100-0000B8010000}"/>
    <hyperlink ref="D443" r:id="rId442" display="http://www.dartmouth.edu/" xr:uid="{00000000-0004-0000-0100-0000B9010000}"/>
    <hyperlink ref="D444" r:id="rId443" display="http://www.darton.edu/" xr:uid="{00000000-0004-0000-0100-0000BA010000}"/>
    <hyperlink ref="E445" r:id="rId444" display="http://www.davenport.edu/grandrapids/" xr:uid="{00000000-0004-0000-0100-0000BB010000}"/>
    <hyperlink ref="E446" r:id="rId445" display="http://www.davenport.edu/kalamazoo/" xr:uid="{00000000-0004-0000-0100-0000BC010000}"/>
    <hyperlink ref="E447" r:id="rId446" display="http://www.davenport.edu/lansing/" xr:uid="{00000000-0004-0000-0100-0000BD010000}"/>
    <hyperlink ref="D448" r:id="rId447" display="http://www.davidson.edu/" xr:uid="{00000000-0004-0000-0100-0000BE010000}"/>
    <hyperlink ref="D449" r:id="rId448" display="http://www.dne.edu/" xr:uid="{00000000-0004-0000-0100-0000BF010000}"/>
    <hyperlink ref="D450" r:id="rId449" display="http://www.deaconess.edu/" xr:uid="{00000000-0004-0000-0100-0000C0010000}"/>
    <hyperlink ref="D451" r:id="rId450" display="http://www.dsc.edu/" xr:uid="{00000000-0004-0000-0100-0000C1010000}"/>
    <hyperlink ref="D452" r:id="rId451" display="http://www.devalcol.edu/" xr:uid="{00000000-0004-0000-0100-0000C2010000}"/>
    <hyperlink ref="D453" r:id="rId452" display="http://www.delta-university.org/" xr:uid="{00000000-0004-0000-0100-0000C3010000}"/>
    <hyperlink ref="D454" r:id="rId453" display="http://www.deltast.edu/" xr:uid="{00000000-0004-0000-0100-0000C4010000}"/>
    <hyperlink ref="D455" r:id="rId454" display="http://www.denison.edu/" xr:uid="{00000000-0004-0000-0100-0000C5010000}"/>
    <hyperlink ref="D456" r:id="rId455" display="http://www.paralegal-education.com/campuses/cosprings/" xr:uid="{00000000-0004-0000-0100-0000C6010000}"/>
    <hyperlink ref="D457" r:id="rId456" display="http://www.dtc.edu/" xr:uid="{00000000-0004-0000-0100-0000C7010000}"/>
    <hyperlink ref="D458" r:id="rId457" display="http://www.depaul.edu/" xr:uid="{00000000-0004-0000-0100-0000C8010000}"/>
    <hyperlink ref="D459" r:id="rId458" display="http://www.depauw.edu/" xr:uid="{00000000-0004-0000-0100-0000C9010000}"/>
    <hyperlink ref="D460" r:id="rId459" display="http://www.desales.edu/" xr:uid="{00000000-0004-0000-0100-0000CA010000}"/>
    <hyperlink ref="D461" r:id="rId460" display="http://www.disd.edu/" xr:uid="{00000000-0004-0000-0100-0000CB010000}"/>
    <hyperlink ref="D462" r:id="rId461" display="http://www.dcb.edu/" xr:uid="{00000000-0004-0000-0100-0000CC010000}"/>
    <hyperlink ref="D463" r:id="rId462" display="http://www.davenport.edu/e3front.dll?durki=1283" xr:uid="{00000000-0004-0000-0100-0000CD010000}"/>
    <hyperlink ref="D464" r:id="rId463" display="http://www.davenport.edu/e3front.dll?durki=108" xr:uid="{00000000-0004-0000-0100-0000CE010000}"/>
    <hyperlink ref="D465" r:id="rId464" display="http://www.dcl.edu/" xr:uid="{00000000-0004-0000-0100-0000CF010000}"/>
    <hyperlink ref="E466" r:id="rId465" display="http://www.chi.devry.edu/" xr:uid="{00000000-0004-0000-0100-0000D0010000}"/>
    <hyperlink ref="E467" r:id="rId466" display="http://www.devrycols.edu/" xr:uid="{00000000-0004-0000-0100-0000D1010000}"/>
    <hyperlink ref="E468" r:id="rId467" display="http://www.atl.devry.edu/" xr:uid="{00000000-0004-0000-0100-0000D2010000}"/>
    <hyperlink ref="E469" r:id="rId468" display="http://www.dpg.devry.edu/" xr:uid="{00000000-0004-0000-0100-0000D3010000}"/>
    <hyperlink ref="E470" r:id="rId469" display="http://www.dal.devry.edu/" xr:uid="{00000000-0004-0000-0100-0000D4010000}"/>
    <hyperlink ref="E471" r:id="rId470" display="http://www.kc.devry.edu/" xr:uid="{00000000-0004-0000-0100-0000D5010000}"/>
    <hyperlink ref="E472" r:id="rId471" display="http://www.phx.devry.edu/" xr:uid="{00000000-0004-0000-0100-0000D6010000}"/>
    <hyperlink ref="E473" r:id="rId472" display="http://www.pom.devry.edu/" xr:uid="{00000000-0004-0000-0100-0000D7010000}"/>
    <hyperlink ref="D474" r:id="rId473" display="http://www.dickinson.edu/" xr:uid="{00000000-0004-0000-0100-0000D8010000}"/>
    <hyperlink ref="D475" r:id="rId474" display="http://www.dsu.nodak.edu/" xr:uid="{00000000-0004-0000-0100-0000D9010000}"/>
    <hyperlink ref="D476" r:id="rId475" display="http://www.dillard.edu/" xr:uid="{00000000-0004-0000-0100-0000DA010000}"/>
    <hyperlink ref="D477" r:id="rId476" display="http://www.svd.org/" xr:uid="{00000000-0004-0000-0100-0000DB010000}"/>
    <hyperlink ref="D478" r:id="rId477" display="http://www.dixie.edu/" xr:uid="{00000000-0004-0000-0100-0000DC010000}"/>
    <hyperlink ref="D479" r:id="rId478" display="http://www.doane.edu/" xr:uid="{00000000-0004-0000-0100-0000DD010000}"/>
    <hyperlink ref="D480" r:id="rId479" display="http://www.dc.edu/" xr:uid="{00000000-0004-0000-0100-0000DE010000}"/>
    <hyperlink ref="D481" r:id="rId480" display="http://www.dominican.edu/" xr:uid="{00000000-0004-0000-0100-0000DF010000}"/>
    <hyperlink ref="D482" r:id="rId481" display="http://www.dspt.edu/" xr:uid="{00000000-0004-0000-0100-0000E0010000}"/>
    <hyperlink ref="D483" r:id="rId482" display="http://www.dom.edu/" xr:uid="{00000000-0004-0000-0100-0000E1010000}"/>
    <hyperlink ref="D484" r:id="rId483" display="http://www.dominion.edu/" xr:uid="{00000000-0004-0000-0100-0000E2010000}"/>
    <hyperlink ref="D485" r:id="rId484" display="http://www.dordt.edu/" xr:uid="{00000000-0004-0000-0100-0000E3010000}"/>
    <hyperlink ref="D486" r:id="rId485" display="http://www.dowling.edu/" xr:uid="{00000000-0004-0000-0100-0000E4010000}"/>
    <hyperlink ref="D487" r:id="rId486" display="http://www.drake.edu/" xr:uid="{00000000-0004-0000-0100-0000E5010000}"/>
    <hyperlink ref="D488" r:id="rId487" display="http://www.drew.edu/" xr:uid="{00000000-0004-0000-0100-0000E6010000}"/>
    <hyperlink ref="D489" r:id="rId488" display="http://www.drexel.edu/" xr:uid="{00000000-0004-0000-0100-0000E7010000}"/>
    <hyperlink ref="D490" r:id="rId489" display="http://www.drury.edu/" xr:uid="{00000000-0004-0000-0100-0000E8010000}"/>
    <hyperlink ref="D491" r:id="rId490" display="http://www.duke.edu/" xr:uid="{00000000-0004-0000-0100-0000E9010000}"/>
    <hyperlink ref="D492" r:id="rId491" display="http://www.dbumn.edu/" xr:uid="{00000000-0004-0000-0100-0000EA010000}"/>
    <hyperlink ref="D493" r:id="rId492" display="http://www.duq.edu/" xr:uid="{00000000-0004-0000-0100-0000EB010000}"/>
    <hyperlink ref="D494" r:id="rId493" display="http://www.dyc.edu/" xr:uid="{00000000-0004-0000-0100-0000EC010000}"/>
    <hyperlink ref="D495" r:id="rId494" display="http://www.earlham.edu/" xr:uid="{00000000-0004-0000-0100-0000ED010000}"/>
    <hyperlink ref="D496" r:id="rId495" display="http://www.eni.edu/" xr:uid="{00000000-0004-0000-0100-0000EE010000}"/>
    <hyperlink ref="D497" r:id="rId496" display="http://www.ecu.edu/" xr:uid="{00000000-0004-0000-0100-0000EF010000}"/>
    <hyperlink ref="D498" r:id="rId497" display="http://www.ecok.edu/" xr:uid="{00000000-0004-0000-0100-0000F0010000}"/>
    <hyperlink ref="D499" r:id="rId498" display="http://www.eastern.edu/" xr:uid="{00000000-0004-0000-0100-0000F1010000}"/>
    <hyperlink ref="D500" r:id="rId499" display="http://www.ecsu.ctstateu.edu/" xr:uid="{00000000-0004-0000-0100-0000F2010000}"/>
    <hyperlink ref="D501" r:id="rId500" display="http://easternconservatory-music.org/" xr:uid="{00000000-0004-0000-0100-0000F3010000}"/>
    <hyperlink ref="D502" r:id="rId501" display="http://www.eiu.edu/" xr:uid="{00000000-0004-0000-0100-0000F4010000}"/>
    <hyperlink ref="D503" r:id="rId502" display="http://www.eku.edu/" xr:uid="{00000000-0004-0000-0100-0000F5010000}"/>
    <hyperlink ref="D504" r:id="rId503" display="http://www.emu.edu/" xr:uid="{00000000-0004-0000-0100-0000F6010000}"/>
    <hyperlink ref="D505" r:id="rId504" display="http://www.emich.edu/" xr:uid="{00000000-0004-0000-0100-0000F7010000}"/>
    <hyperlink ref="D506" r:id="rId505" display="http://www.enc.edu/" xr:uid="{00000000-0004-0000-0100-0000F8010000}"/>
    <hyperlink ref="D507" r:id="rId506" display="http://www.enmu.edu/" xr:uid="{00000000-0004-0000-0100-0000F9010000}"/>
    <hyperlink ref="D508" r:id="rId507" display="http://www.eou.edu/" xr:uid="{00000000-0004-0000-0100-0000FA010000}"/>
    <hyperlink ref="D509" r:id="rId508" display="http://www.evms.edu/" xr:uid="{00000000-0004-0000-0100-0000FB010000}"/>
    <hyperlink ref="D510" r:id="rId509" display="http://www.ewu.edu/" xr:uid="{00000000-0004-0000-0100-0000FC010000}"/>
    <hyperlink ref="D511" r:id="rId510" display="http://www.esu.edu/" xr:uid="{00000000-0004-0000-0100-0000FD010000}"/>
    <hyperlink ref="D512" r:id="rId511" display="http://www.etsu.edu/" xr:uid="{00000000-0004-0000-0100-0000FE010000}"/>
    <hyperlink ref="D513" r:id="rId512" display="http://www.etbu.edu/" xr:uid="{00000000-0004-0000-0100-0000FF010000}"/>
    <hyperlink ref="D514" r:id="rId513" display="http://www.eastwest.edu/" xr:uid="{00000000-0004-0000-0100-000000020000}"/>
    <hyperlink ref="D515" r:id="rId514" display="http://www.eckerd.edu/" xr:uid="{00000000-0004-0000-0100-000001020000}"/>
    <hyperlink ref="D516" r:id="rId515" display="http://www.edgewood.edu/" xr:uid="{00000000-0004-0000-0100-000002020000}"/>
    <hyperlink ref="D517" r:id="rId516" display="http://www.edinboro.edu/" xr:uid="{00000000-0004-0000-0100-000003020000}"/>
    <hyperlink ref="D518" r:id="rId517" display="http://www.edison.edu/" xr:uid="{00000000-0004-0000-0100-000004020000}"/>
    <hyperlink ref="D519" r:id="rId518" display="http://www.ewc.edu/" xr:uid="{00000000-0004-0000-0100-000005020000}"/>
    <hyperlink ref="D520" r:id="rId519" display="http://www.ecsu.edu/" xr:uid="{00000000-0004-0000-0100-000006020000}"/>
    <hyperlink ref="D521" r:id="rId520" display="http://www.etown.edu/" xr:uid="{00000000-0004-0000-0100-000007020000}"/>
    <hyperlink ref="D522" r:id="rId521" display="http://www.elmhurst.edu/" xr:uid="{00000000-0004-0000-0100-000008020000}"/>
    <hyperlink ref="D523" r:id="rId522" display="http://www.elmira.edu/" xr:uid="{00000000-0004-0000-0100-000009020000}"/>
    <hyperlink ref="D524" r:id="rId523" display="http://www.elms.edu/" xr:uid="{00000000-0004-0000-0100-00000A020000}"/>
    <hyperlink ref="D525" r:id="rId524" display="http://www.elon.edu/" xr:uid="{00000000-0004-0000-0100-00000B020000}"/>
    <hyperlink ref="D526" r:id="rId525" display="http://www.embryriddle.edu/" xr:uid="{00000000-0004-0000-0100-00000C020000}"/>
    <hyperlink ref="E527" r:id="rId526" display="http://www.prescott.erau.edu/" xr:uid="{00000000-0004-0000-0100-00000D020000}"/>
    <hyperlink ref="D528" r:id="rId527" display="http://www.emerson.edu/" xr:uid="{00000000-0004-0000-0100-00000E020000}"/>
    <hyperlink ref="D529" r:id="rId528" display="http://www.emmanuel.edu/" xr:uid="{00000000-0004-0000-0100-00000F020000}"/>
    <hyperlink ref="D530" r:id="rId529" display="http://www.emmanuel-college.edu/" xr:uid="{00000000-0004-0000-0100-000010020000}"/>
    <hyperlink ref="D531" r:id="rId530" display="http://www.emmaus.edu/" xr:uid="{00000000-0004-0000-0100-000011020000}"/>
    <hyperlink ref="D532" r:id="rId531" display="http://www.ehc.edu/" xr:uid="{00000000-0004-0000-0100-000012020000}"/>
    <hyperlink ref="D533" r:id="rId532" display="http://www.emory.edu/" xr:uid="{00000000-0004-0000-0100-000013020000}"/>
    <hyperlink ref="D534" r:id="rId533" display="http://www.emporia.edu/" xr:uid="{00000000-0004-0000-0100-000014020000}"/>
    <hyperlink ref="D535" r:id="rId534" display="http://www.erskine.edu/" xr:uid="{00000000-0004-0000-0100-000015020000}"/>
    <hyperlink ref="D536" r:id="rId535" display="http://www.ebc.edu/" xr:uid="{00000000-0004-0000-0100-000016020000}"/>
    <hyperlink ref="D537" r:id="rId536" display="http://www.eureka.edu/" xr:uid="{00000000-0004-0000-0100-000017020000}"/>
    <hyperlink ref="D538" r:id="rId537" display="http://www.evangel.edu/" xr:uid="{00000000-0004-0000-0100-000018020000}"/>
    <hyperlink ref="D539" r:id="rId538" display="http://www.evergreen.edu/" xr:uid="{00000000-0004-0000-0100-000019020000}"/>
    <hyperlink ref="D540" r:id="rId539" display="http://www.excelcollege.org/" xr:uid="{00000000-0004-0000-0100-00001A020000}"/>
    <hyperlink ref="D541" r:id="rId540" display="http://www.regents.edu/" xr:uid="{00000000-0004-0000-0100-00001B020000}"/>
    <hyperlink ref="D542" r:id="rId541" display="http://www.fairfield.edu/" xr:uid="{00000000-0004-0000-0100-00001C020000}"/>
    <hyperlink ref="E543" r:id="rId542" display="http://www.fdu.edu/visitorcenter/fmwelcome.html" xr:uid="{00000000-0004-0000-0100-00001D020000}"/>
    <hyperlink ref="E544" r:id="rId543" display="http://www.fdu.edu/visitorcenter/thwelcome.html" xr:uid="{00000000-0004-0000-0100-00001E020000}"/>
    <hyperlink ref="D545" r:id="rId544" display="http://www.fscwv.edu/" xr:uid="{00000000-0004-0000-0100-00001F020000}"/>
    <hyperlink ref="D546" r:id="rId545" display="http://www.fitnyc.suny.edu/" xr:uid="{00000000-0004-0000-0100-000020020000}"/>
    <hyperlink ref="D547" r:id="rId546" display="http://www.faulkner.edu/" xr:uid="{00000000-0004-0000-0100-000021020000}"/>
    <hyperlink ref="D548" r:id="rId547" display="http://www.uncfsu.edu/" xr:uid="{00000000-0004-0000-0100-000022020000}"/>
    <hyperlink ref="D549" r:id="rId548" display="http://www.felician.edu/" xr:uid="{00000000-0004-0000-0100-000023020000}"/>
    <hyperlink ref="D550" r:id="rId549" display="http://www.ferris.edu/" xr:uid="{00000000-0004-0000-0100-000024020000}"/>
    <hyperlink ref="D551" r:id="rId550" display="http://www.ferrum.edu/" xr:uid="{00000000-0004-0000-0100-000025020000}"/>
    <hyperlink ref="D552" r:id="rId551" display="http://www.fielding.edu/" xr:uid="{00000000-0004-0000-0100-000026020000}"/>
    <hyperlink ref="D553" r:id="rId552" display="http://www.finchcms.edu/" xr:uid="{00000000-0004-0000-0100-000027020000}"/>
    <hyperlink ref="D554" r:id="rId553" display="http://www.finlandia.edu/" xr:uid="{00000000-0004-0000-0100-000028020000}"/>
    <hyperlink ref="D555" r:id="rId554" display="http://www.fisher.edu/" xr:uid="{00000000-0004-0000-0100-000029020000}"/>
    <hyperlink ref="D556" r:id="rId555" display="http://www.fisk.edu/" xr:uid="{00000000-0004-0000-0100-00002A020000}"/>
    <hyperlink ref="D557" r:id="rId556" display="http://www.fsc.edu/" xr:uid="{00000000-0004-0000-0100-00002B020000}"/>
    <hyperlink ref="D558" r:id="rId557" display="http://www.flagler.edu/" xr:uid="{00000000-0004-0000-0100-00002C020000}"/>
    <hyperlink ref="D559" r:id="rId558" display="http://www.famu.edu/" xr:uid="{00000000-0004-0000-0100-00002D020000}"/>
    <hyperlink ref="D560" r:id="rId559" display="http://www.fau.edu/" xr:uid="{00000000-0004-0000-0100-00002E020000}"/>
    <hyperlink ref="D561" r:id="rId560" display="http://www.fcc.edu/" xr:uid="{00000000-0004-0000-0100-00002F020000}"/>
    <hyperlink ref="D562" r:id="rId561" display="http://www.fccj.org/" xr:uid="{00000000-0004-0000-0100-000030020000}"/>
    <hyperlink ref="D563" r:id="rId562" display="http://www.fgcu.edu/" xr:uid="{00000000-0004-0000-0100-000031020000}"/>
    <hyperlink ref="D564" r:id="rId563" display="http://www.fit.edu/" xr:uid="{00000000-0004-0000-0100-000032020000}"/>
    <hyperlink ref="D565" r:id="rId564" display="http://www.fiu.edu/" xr:uid="{00000000-0004-0000-0100-000033020000}"/>
    <hyperlink ref="D566" r:id="rId565" display="http://www.fmc.edu/" xr:uid="{00000000-0004-0000-0100-000034020000}"/>
    <hyperlink ref="E567" r:id="rId566" display="http://www.fmu.edu/784/f-784.htm" xr:uid="{00000000-0004-0000-0100-000035020000}"/>
    <hyperlink ref="E568" r:id="rId567" display="http://www.fmu.edu/762/f-762.htm" xr:uid="{00000000-0004-0000-0100-000036020000}"/>
    <hyperlink ref="E569" r:id="rId568" display="http://www.fmu.edu/764/f-764.htm" xr:uid="{00000000-0004-0000-0100-000037020000}"/>
    <hyperlink ref="E570" r:id="rId569" display="http://www.fmu.edu/765/f-765.htm" xr:uid="{00000000-0004-0000-0100-000038020000}"/>
    <hyperlink ref="D571" r:id="rId570" display="http://www.flsouthern.edu/" xr:uid="{00000000-0004-0000-0100-000039020000}"/>
    <hyperlink ref="D572" r:id="rId571" display="http://www.fsu.edu/" xr:uid="{00000000-0004-0000-0100-00003A020000}"/>
    <hyperlink ref="D573" r:id="rId572" display="http://www.fuom.us/" xr:uid="{00000000-0004-0000-0100-00003B020000}"/>
    <hyperlink ref="D574" r:id="rId573" display="http://www.fontbonne.edu/" xr:uid="{00000000-0004-0000-0100-00003C020000}"/>
    <hyperlink ref="D575" r:id="rId574" display="http://www.fhda.edu/" xr:uid="{00000000-0004-0000-0100-00003D020000}"/>
    <hyperlink ref="D576" r:id="rId575" display="http://www.fordham.edu/" xr:uid="{00000000-0004-0000-0100-00003E020000}"/>
    <hyperlink ref="D577" r:id="rId576" display="http://www.forestinstitute.org/" xr:uid="{00000000-0004-0000-0100-00003F020000}"/>
    <hyperlink ref="D578" r:id="rId577" display="http://www.fhsu.edu/" xr:uid="{00000000-0004-0000-0100-000040020000}"/>
    <hyperlink ref="D579" r:id="rId578" display="http://www.fortlewis.edu/" xr:uid="{00000000-0004-0000-0100-000041020000}"/>
    <hyperlink ref="D580" r:id="rId579" display="http://www.fvsc.peachnet.edu/" xr:uid="{00000000-0004-0000-0100-000042020000}"/>
    <hyperlink ref="D581" r:id="rId580" display="http://www.framingham.edu/" xr:uid="{00000000-0004-0000-0100-000043020000}"/>
    <hyperlink ref="D582" r:id="rId581" display="http://www.fst.edu/" xr:uid="{00000000-0004-0000-0100-000044020000}"/>
    <hyperlink ref="D583" r:id="rId582" display="http://www.franuniv.edu/" xr:uid="{00000000-0004-0000-0100-000045020000}"/>
    <hyperlink ref="D584" r:id="rId583" display="http://www.fmarion.edu/" xr:uid="{00000000-0004-0000-0100-000046020000}"/>
    <hyperlink ref="D585" r:id="rId584" display="http://www.fandm.edu/" xr:uid="{00000000-0004-0000-0100-000047020000}"/>
    <hyperlink ref="D586" r:id="rId585" display="http://www.franklincoll.edu/" xr:uid="{00000000-0004-0000-0100-000048020000}"/>
    <hyperlink ref="D587" r:id="rId586" display="http://www.fpc.edu/" xr:uid="{00000000-0004-0000-0100-000049020000}"/>
    <hyperlink ref="D588" r:id="rId587" display="http://www.fplc.edu/" xr:uid="{00000000-0004-0000-0100-00004A020000}"/>
    <hyperlink ref="D589" r:id="rId588" display="http://www.franklin.edu/" xr:uid="{00000000-0004-0000-0100-00004B020000}"/>
    <hyperlink ref="D590" r:id="rId589" display="http://www.olin.edu/" xr:uid="{00000000-0004-0000-0100-00004C020000}"/>
    <hyperlink ref="D591" r:id="rId590" display="http://www.taliesin.edu/" xr:uid="{00000000-0004-0000-0100-00004D020000}"/>
    <hyperlink ref="D592" r:id="rId591" display="http://www.fhcrc.org/" xr:uid="{00000000-0004-0000-0100-00004E020000}"/>
    <hyperlink ref="D593" r:id="rId592" display="http://www.fhu.edu/" xr:uid="{00000000-0004-0000-0100-00004F020000}"/>
    <hyperlink ref="D594" r:id="rId593" display="http://www.vtu.edu/" xr:uid="{00000000-0004-0000-0100-000050020000}"/>
    <hyperlink ref="D595" r:id="rId594" display="http://www.fwbbc.edu/" xr:uid="{00000000-0004-0000-0100-000051020000}"/>
    <hyperlink ref="D596" r:id="rId595" display="http://www.fresnocitycollege.edu/" xr:uid="{00000000-0004-0000-0100-000052020000}"/>
    <hyperlink ref="D597" r:id="rId596" display="http://www.fresno.edu/" xr:uid="{00000000-0004-0000-0100-000053020000}"/>
    <hyperlink ref="D598" r:id="rId597" display="http://www.friends.edu/" xr:uid="{00000000-0004-0000-0100-000054020000}"/>
    <hyperlink ref="D599" r:id="rId598" display="http://www.fsu.umd.edu/" xr:uid="{00000000-0004-0000-0100-000055020000}"/>
    <hyperlink ref="D600" r:id="rId599" display="http://www.fullsail.com/" xr:uid="{00000000-0004-0000-0100-000056020000}"/>
    <hyperlink ref="D601" r:id="rId600" display="http://www.furman.edu/" xr:uid="{00000000-0004-0000-0100-000057020000}"/>
    <hyperlink ref="D602" r:id="rId601" display="http://www.gallaudet.edu/" xr:uid="{00000000-0004-0000-0100-000058020000}"/>
    <hyperlink ref="D603" r:id="rId602" display="http://www.gannon.edu/" xr:uid="{00000000-0004-0000-0100-000059020000}"/>
    <hyperlink ref="D604" r:id="rId603" display="http://www.gardner-webb.edu/" xr:uid="{00000000-0004-0000-0100-00005A020000}"/>
    <hyperlink ref="D605" r:id="rId604" display="http://www.gia.edu/" xr:uid="{00000000-0004-0000-0100-00005B020000}"/>
    <hyperlink ref="D606" r:id="rId605" display="http://www.geneva.edu/" xr:uid="{00000000-0004-0000-0100-00005C020000}"/>
    <hyperlink ref="D607" r:id="rId606" display="http://www.georgefox.edu/" xr:uid="{00000000-0004-0000-0100-00005D020000}"/>
    <hyperlink ref="D608" r:id="rId607" display="http://www.gmu.edu/" xr:uid="{00000000-0004-0000-0100-00005E020000}"/>
    <hyperlink ref="D609" r:id="rId608" display="http://www.georgetowncollege.edu/" xr:uid="{00000000-0004-0000-0100-00005F020000}"/>
    <hyperlink ref="D610" r:id="rId609" display="http://www.georgetown.edu/" xr:uid="{00000000-0004-0000-0100-000060020000}"/>
    <hyperlink ref="D611" r:id="rId610" display="http://www.gwu.edu/" xr:uid="{00000000-0004-0000-0100-000061020000}"/>
    <hyperlink ref="D612" r:id="rId611" display="http://www.gwc.edu/" xr:uid="{00000000-0004-0000-0100-000062020000}"/>
    <hyperlink ref="D613" r:id="rId612" display="http://www.gbcn.edu/" xr:uid="{00000000-0004-0000-0100-000063020000}"/>
    <hyperlink ref="D614" r:id="rId613" display="http://www.gcsu.edu/" xr:uid="{00000000-0004-0000-0100-000064020000}"/>
    <hyperlink ref="D615" r:id="rId614" display="http://www.georgiahealth.edu/" xr:uid="{00000000-0004-0000-0100-000065020000}"/>
    <hyperlink ref="D616" r:id="rId615" display="http://www.gatech.edu/" xr:uid="{00000000-0004-0000-0100-000066020000}"/>
    <hyperlink ref="D617" r:id="rId616" display="http://www.georgian.edu/" xr:uid="{00000000-0004-0000-0100-000067020000}"/>
    <hyperlink ref="D618" r:id="rId617" display="http://www.aspp.edu/ga.html" xr:uid="{00000000-0004-0000-0100-000068020000}"/>
    <hyperlink ref="D619" r:id="rId618" display="http://www.georgiasouthern.edu/" xr:uid="{00000000-0004-0000-0100-000069020000}"/>
    <hyperlink ref="D620" r:id="rId619" display="http://www.gsw.edu/" xr:uid="{00000000-0004-0000-0100-00006A020000}"/>
    <hyperlink ref="D621" r:id="rId620" display="http://www.gsu.edu/" xr:uid="{00000000-0004-0000-0100-00006B020000}"/>
    <hyperlink ref="D622" r:id="rId621" display="http://www.gettysburg.edu/" xr:uid="{00000000-0004-0000-0100-00006C020000}"/>
    <hyperlink ref="D623" r:id="rId622" display="http://www.glendalelaw.edu/" xr:uid="{00000000-0004-0000-0100-00006D020000}"/>
    <hyperlink ref="D624" r:id="rId623" display="http://www.glenville.wvnet.edu/" xr:uid="{00000000-0004-0000-0100-00006E020000}"/>
    <hyperlink ref="D625" r:id="rId624" display="http://www.goddard.edu/" xr:uid="{00000000-0004-0000-0100-00006F020000}"/>
    <hyperlink ref="D626" r:id="rId625" display="http://www.gbs.edu/" xr:uid="{00000000-0004-0000-0100-000070020000}"/>
    <hyperlink ref="D627" r:id="rId626" display="http://www.ggu.edu/" xr:uid="{00000000-0004-0000-0100-000071020000}"/>
    <hyperlink ref="D628" r:id="rId627" display="http://goldey.gbc.edu/" xr:uid="{00000000-0004-0000-0100-000072020000}"/>
    <hyperlink ref="D629" r:id="rId628" display="http://www.gonzaga.edu/" xr:uid="{00000000-0004-0000-0100-000073020000}"/>
    <hyperlink ref="D630" r:id="rId629" display="http://www.gordon.edu/" xr:uid="{00000000-0004-0000-0100-000074020000}"/>
    <hyperlink ref="D631" r:id="rId630" display="http://www.gcts.edu/" xr:uid="{00000000-0004-0000-0100-000075020000}"/>
    <hyperlink ref="D632" r:id="rId631" display="http://www.goshen.edu/" xr:uid="{00000000-0004-0000-0100-000076020000}"/>
    <hyperlink ref="D633" r:id="rId632" display="http://www.goucher.edu/" xr:uid="{00000000-0004-0000-0100-000077020000}"/>
    <hyperlink ref="D634" r:id="rId633" display="http://www.govst.edu/" xr:uid="{00000000-0004-0000-0100-000078020000}"/>
    <hyperlink ref="D635" r:id="rId634" display="http://www.gbcol.edu/" xr:uid="{00000000-0004-0000-0100-000079020000}"/>
    <hyperlink ref="D636" r:id="rId635" display="http://www.grace.edu/" xr:uid="{00000000-0004-0000-0100-00007A020000}"/>
    <hyperlink ref="D637" r:id="rId636" display="http://www.graceland.edu/" xr:uid="{00000000-0004-0000-0100-00007B020000}"/>
    <hyperlink ref="D638" r:id="rId637" display="http://www.graceu.edu/" xr:uid="{00000000-0004-0000-0100-00007C020000}"/>
    <hyperlink ref="D639" r:id="rId638" display="http://www.gtu.edu/" xr:uid="{00000000-0004-0000-0100-00007D020000}"/>
    <hyperlink ref="D640" r:id="rId639" display="http://www.gram.edu/" xr:uid="{00000000-0004-0000-0100-00007E020000}"/>
    <hyperlink ref="D641" r:id="rId640" display="http://www.gcu.edu/" xr:uid="{00000000-0004-0000-0100-00007F020000}"/>
    <hyperlink ref="D642" r:id="rId641" display="http://www.gvsu.edu/" xr:uid="{00000000-0004-0000-0100-000080020000}"/>
    <hyperlink ref="D643" r:id="rId642" display="http://www.gvc.edu/" xr:uid="{00000000-0004-0000-0100-000081020000}"/>
    <hyperlink ref="D644" r:id="rId643" display="http://www.grantham.edu/" xr:uid="{00000000-0004-0000-0100-000082020000}"/>
    <hyperlink ref="D645" r:id="rId644" display="http://www.gratzcollege.edu/" xr:uid="{00000000-0004-0000-0100-000083020000}"/>
    <hyperlink ref="D646" r:id="rId645" display="http://www.glcc.edu/" xr:uid="{00000000-0004-0000-0100-000084020000}"/>
    <hyperlink ref="D647" r:id="rId646" display="http://www.greenmtn.edu/" xr:uid="{00000000-0004-0000-0100-000085020000}"/>
    <hyperlink ref="D648" r:id="rId647" display="http://www.gborocollege.edu/" xr:uid="{00000000-0004-0000-0100-000086020000}"/>
    <hyperlink ref="D649" r:id="rId648" display="http://www.greenville.edu/" xr:uid="{00000000-0004-0000-0100-000087020000}"/>
    <hyperlink ref="D650" r:id="rId649" display="http://www.grinnell.edu/" xr:uid="{00000000-0004-0000-0100-000088020000}"/>
    <hyperlink ref="D651" r:id="rId650" display="http://www.gcc.edu/" xr:uid="{00000000-0004-0000-0100-000089020000}"/>
    <hyperlink ref="D652" r:id="rId651" display="http://www.guilford.edu/" xr:uid="{00000000-0004-0000-0100-00008A020000}"/>
    <hyperlink ref="D653" r:id="rId652" display="http://www.gac.edu/" xr:uid="{00000000-0004-0000-0100-00008B020000}"/>
    <hyperlink ref="D654" r:id="rId653" display="http://www.gmc.edu/" xr:uid="{00000000-0004-0000-0100-00008C020000}"/>
    <hyperlink ref="D655" r:id="rId654" display="http://www.hcc.cc.md.us/" xr:uid="{00000000-0004-0000-0100-00008D020000}"/>
    <hyperlink ref="D656" r:id="rId655" display="http://www.hamilton.edu/" xr:uid="{00000000-0004-0000-0100-00008E020000}"/>
    <hyperlink ref="D657" r:id="rId656" display="http://www.vca1.com/hamiltontech/" xr:uid="{00000000-0004-0000-0100-00008F020000}"/>
    <hyperlink ref="D658" r:id="rId657" display="http://www.hamline.edu/" xr:uid="{00000000-0004-0000-0100-000090020000}"/>
    <hyperlink ref="D659" r:id="rId658" display="http://www.hsc.edu/" xr:uid="{00000000-0004-0000-0100-000091020000}"/>
    <hyperlink ref="D660" r:id="rId659" display="http://www.hampshire.edu/" xr:uid="{00000000-0004-0000-0100-000092020000}"/>
    <hyperlink ref="D661" r:id="rId660" display="http://www.hamptoncollege.org/" xr:uid="{00000000-0004-0000-0100-000093020000}"/>
    <hyperlink ref="D662" r:id="rId661" display="http://www.hamptonu.edu/" xr:uid="{00000000-0004-0000-0100-000094020000}"/>
    <hyperlink ref="D663" r:id="rId662" display="http://www.hlg.edu/" xr:uid="{00000000-0004-0000-0100-000095020000}"/>
    <hyperlink ref="D664" r:id="rId663" display="http://www.hanover.edu/" xr:uid="{00000000-0004-0000-0100-000096020000}"/>
    <hyperlink ref="D665" r:id="rId664" display="http://www.harding.edu/" xr:uid="{00000000-0004-0000-0100-000097020000}"/>
    <hyperlink ref="D666" r:id="rId665" display="http://www.hugsr.edu/" xr:uid="{00000000-0004-0000-0100-000098020000}"/>
    <hyperlink ref="D667" r:id="rId666" display="http://www.hsutx.edu/" xr:uid="{00000000-0004-0000-0100-000099020000}"/>
    <hyperlink ref="D668" r:id="rId667" display="http://www.interiordesign.edu/" xr:uid="{00000000-0004-0000-0100-00009A020000}"/>
    <hyperlink ref="D669" r:id="rId668" display="http://www.hssu.edu/" xr:uid="{00000000-0004-0000-0100-00009B020000}"/>
    <hyperlink ref="D670" r:id="rId669" display="http://www.hartford.edu/SchoolsColleges/HCW/HCW.html" xr:uid="{00000000-0004-0000-0100-00009C020000}"/>
    <hyperlink ref="D671" r:id="rId670" display="http://www.hgc.edu/" xr:uid="{00000000-0004-0000-0100-00009D020000}"/>
    <hyperlink ref="D672" r:id="rId671" display="http://www.hartwick.edu/" xr:uid="{00000000-0004-0000-0100-00009E020000}"/>
    <hyperlink ref="D673" r:id="rId672" display="http://www.harvard.edu/" xr:uid="{00000000-0004-0000-0100-00009F020000}"/>
    <hyperlink ref="D674" r:id="rId673" display="http://www.hmc.edu/" xr:uid="{00000000-0004-0000-0100-0000A0020000}"/>
    <hyperlink ref="D675" r:id="rId674" display="http://www.hastings.edu/" xr:uid="{00000000-0004-0000-0100-0000A1020000}"/>
    <hyperlink ref="D676" r:id="rId675" display="http://www.haverford.edu/" xr:uid="{00000000-0004-0000-0100-0000A2020000}"/>
    <hyperlink ref="D677" r:id="rId676" display="http://www.hpu.edu/" xr:uid="{00000000-0004-0000-0100-0000A3020000}"/>
    <hyperlink ref="D678" r:id="rId677" display="http://www.hbbc.edu/" xr:uid="{00000000-0004-0000-0100-0000A4020000}"/>
    <hyperlink ref="D679" r:id="rId678" display="http://www.hebrewcollege.edu/" xr:uid="{00000000-0004-0000-0100-0000A5020000}"/>
    <hyperlink ref="D680" r:id="rId679" display="http://www.heidelberg.edu/" xr:uid="{00000000-0004-0000-0100-0000A6020000}"/>
    <hyperlink ref="D681" r:id="rId680" display="http://www.hsu.edu/" xr:uid="{00000000-0004-0000-0100-0000A7020000}"/>
    <hyperlink ref="D682" r:id="rId681" display="http://www.hendrix.edu/" xr:uid="{00000000-0004-0000-0100-0000A8020000}"/>
    <hyperlink ref="D683" r:id="rId682" display="http://www.heritage.edu/" xr:uid="{00000000-0004-0000-0100-0000A9020000}"/>
    <hyperlink ref="D684" r:id="rId683" display="http://www.hesser.edu/" xr:uid="{00000000-0004-0000-0100-0000AA020000}"/>
    <hyperlink ref="D685" r:id="rId684" display="http://www.highpoint.edu/" xr:uid="{00000000-0004-0000-0100-0000AB020000}"/>
    <hyperlink ref="D686" r:id="rId685" display="http://www.hilbert.edu/" xr:uid="{00000000-0004-0000-0100-0000AC020000}"/>
    <hyperlink ref="D687" r:id="rId686" display="http://www.hillsdale.edu/" xr:uid="{00000000-0004-0000-0100-0000AD020000}"/>
    <hyperlink ref="D688" r:id="rId687" display="http://www.hiram.edu/" xr:uid="{00000000-0004-0000-0100-0000AE020000}"/>
    <hyperlink ref="D689" r:id="rId688" display="http://www.hws.edu/" xr:uid="{00000000-0004-0000-0100-0000AF020000}"/>
    <hyperlink ref="D690" r:id="rId689" display="http://www.hsbc.edu/" xr:uid="{00000000-0004-0000-0100-0000B0020000}"/>
    <hyperlink ref="D691" r:id="rId690" display="http://www.hodges.edu/" xr:uid="{00000000-0004-0000-0100-0000B1020000}"/>
    <hyperlink ref="D692" r:id="rId691" display="http://www.hofstra.edu/" xr:uid="{00000000-0004-0000-0100-0000B2020000}"/>
    <hyperlink ref="D693" r:id="rId692" display="http://www.hollins.edu/" xr:uid="{00000000-0004-0000-0100-0000B3020000}"/>
    <hyperlink ref="D694" r:id="rId693" display="http://www.holy-apostles.org/" xr:uid="{00000000-0004-0000-0100-0000B4020000}"/>
    <hyperlink ref="D695" r:id="rId694" display="http://www.hcc-nd.edu/" xr:uid="{00000000-0004-0000-0100-0000B5020000}"/>
    <hyperlink ref="D696" r:id="rId695" display="http://www.hfc.edu/" xr:uid="{00000000-0004-0000-0100-0000B6020000}"/>
    <hyperlink ref="D697" r:id="rId696" display="http://www.hnc.edu/" xr:uid="{00000000-0004-0000-0100-0000B7020000}"/>
    <hyperlink ref="D698" r:id="rId697" display="http://www.hood.edu/" xr:uid="{00000000-0004-0000-0100-0000B8020000}"/>
    <hyperlink ref="D699" r:id="rId698" display="http://www.hope.edu/" xr:uid="{00000000-0004-0000-0100-0000B9020000}"/>
    <hyperlink ref="D700" r:id="rId699" display="http://www.hiu.edu/" xr:uid="{00000000-0004-0000-0100-0000BA020000}"/>
    <hyperlink ref="D701" r:id="rId700" display="http://www.houghton.edu/" xr:uid="{00000000-0004-0000-0100-0000BB020000}"/>
    <hyperlink ref="D702" r:id="rId701" display="http://www.hbu.edu/" xr:uid="{00000000-0004-0000-0100-0000BC020000}"/>
    <hyperlink ref="D703" r:id="rId702" display="http://www.hputx.edu/" xr:uid="{00000000-0004-0000-0100-0000BD020000}"/>
    <hyperlink ref="D704" r:id="rId703" display="http://www.howard.edu/" xr:uid="{00000000-0004-0000-0100-0000BE020000}"/>
    <hyperlink ref="D705" r:id="rId704" display="http://www.humboldt.edu/" xr:uid="{00000000-0004-0000-0100-0000BF020000}"/>
    <hyperlink ref="D706" r:id="rId705" display="http://www.humphreys.edu/" xr:uid="{00000000-0004-0000-0100-0000C0020000}"/>
    <hyperlink ref="D707" r:id="rId706" display="http://www.huntcol.edu/" xr:uid="{00000000-0004-0000-0100-0000C1020000}"/>
    <hyperlink ref="D708" r:id="rId707" display="http://www.huron.edu/" xr:uid="{00000000-0004-0000-0100-0000C2020000}"/>
    <hyperlink ref="D709" r:id="rId708" display="http://www.husson.edu/" xr:uid="{00000000-0004-0000-0100-0000C3020000}"/>
    <hyperlink ref="D710" r:id="rId709" display="http://www.htc.edu/" xr:uid="{00000000-0004-0000-0100-0000C4020000}"/>
    <hyperlink ref="D711" r:id="rId710" display="http://www.ici.edu/" xr:uid="{00000000-0004-0000-0100-0000C5020000}"/>
    <hyperlink ref="D712" r:id="rId711" display="http://www.ictcollege.edu/" xr:uid="{00000000-0004-0000-0100-0000C6020000}"/>
    <hyperlink ref="D713" r:id="rId712" display="http://www.isu.edu/" xr:uid="{00000000-0004-0000-0100-0000C7020000}"/>
    <hyperlink ref="D714" r:id="rId713" display="http://www.iglobal.edu/" xr:uid="{00000000-0004-0000-0100-0000C8020000}"/>
    <hyperlink ref="D715" r:id="rId714" display="http://www.ben.edu/" xr:uid="{00000000-0004-0000-0100-0000C9020000}"/>
    <hyperlink ref="D716" r:id="rId715" display="http://www.ic.edu/" xr:uid="{00000000-0004-0000-0100-0000CA020000}"/>
    <hyperlink ref="D717" r:id="rId716" display="http://www.ico.edu/" xr:uid="{00000000-0004-0000-0100-0000CB020000}"/>
    <hyperlink ref="D718" r:id="rId717" display="http://www.iit.edu/" xr:uid="{00000000-0004-0000-0100-0000CC020000}"/>
    <hyperlink ref="D719" r:id="rId718" display="http://www.aspp.edu/ilch.html" xr:uid="{00000000-0004-0000-0100-0000CD020000}"/>
    <hyperlink ref="D720" r:id="rId719" display="http://www.aspp.edu/ilrm.html" xr:uid="{00000000-0004-0000-0100-0000CE020000}"/>
    <hyperlink ref="D721" r:id="rId720" display="http://www.ilstu.edu/" xr:uid="{00000000-0004-0000-0100-0000CF020000}"/>
    <hyperlink ref="D722" r:id="rId721" display="http://www.ivcc.edu/" xr:uid="{00000000-0004-0000-0100-0000D0020000}"/>
    <hyperlink ref="D723" r:id="rId722" display="http://www.iwu.edu/" xr:uid="{00000000-0004-0000-0100-0000D1020000}"/>
    <hyperlink ref="D724" r:id="rId723" display="http://www.immaculata.edu/" xr:uid="{00000000-0004-0000-0100-0000D2020000}"/>
    <hyperlink ref="D725" r:id="rId724" display="http://www.impacu.edu/" xr:uid="{00000000-0004-0000-0100-0000D3020000}"/>
    <hyperlink ref="D726" r:id="rId725" display="http://www.indtech.edu/" xr:uid="{00000000-0004-0000-0100-0000D4020000}"/>
    <hyperlink ref="D727" r:id="rId726" display="http://www.indstate.edu/" xr:uid="{00000000-0004-0000-0100-0000D5020000}"/>
    <hyperlink ref="D728" r:id="rId727" display="http://www.iub.edu/" xr:uid="{00000000-0004-0000-0100-0000D6020000}"/>
    <hyperlink ref="D729" r:id="rId728" display="http://www.iuk.edu/" xr:uid="{00000000-0004-0000-0100-0000D7020000}"/>
    <hyperlink ref="D730" r:id="rId729" display="http://www.iusb.edu/" xr:uid="{00000000-0004-0000-0100-0000D8020000}"/>
    <hyperlink ref="D731" r:id="rId730" display="http://www.iue.indiana.edu/" xr:uid="{00000000-0004-0000-0100-0000D9020000}"/>
    <hyperlink ref="D732" r:id="rId731" display="http://www.iun.indiana.edu/" xr:uid="{00000000-0004-0000-0100-0000DA020000}"/>
    <hyperlink ref="D733" r:id="rId732" display="http://www.iup.edu/" xr:uid="{00000000-0004-0000-0100-0000DB020000}"/>
    <hyperlink ref="D734" r:id="rId733" display="http://www.columbus.iupui.edu/" xr:uid="{00000000-0004-0000-0100-0000DC020000}"/>
    <hyperlink ref="D735" r:id="rId734" display="http://www.ipfw.edu/" xr:uid="{00000000-0004-0000-0100-0000DD020000}"/>
    <hyperlink ref="D736" r:id="rId735" display="http://www.iupui.edu/" xr:uid="{00000000-0004-0000-0100-0000DE020000}"/>
    <hyperlink ref="D737" r:id="rId736" display="http://www.ius.indiana.edu/" xr:uid="{00000000-0004-0000-0100-0000DF020000}"/>
    <hyperlink ref="D738" r:id="rId737" display="http://www.indiana.edu/" xr:uid="{00000000-0004-0000-0100-0000E0020000}"/>
    <hyperlink ref="D739" r:id="rId738" display="http://www.indwes.edu/" xr:uid="{00000000-0004-0000-0100-0000E1020000}"/>
    <hyperlink ref="D740" r:id="rId739" display="http://www.icsw.com/" xr:uid="{00000000-0004-0000-0100-0000E2020000}"/>
    <hyperlink ref="D741" r:id="rId740" display="http://www.ipst.edu/" xr:uid="{00000000-0004-0000-0100-0000E3020000}"/>
    <hyperlink ref="D742" r:id="rId741" display="http://www.itt.edu/" xr:uid="{00000000-0004-0000-0100-0000E4020000}"/>
    <hyperlink ref="D743" r:id="rId742" display="http://www.itp.edu/" xr:uid="{00000000-0004-0000-0100-0000E5020000}"/>
    <hyperlink ref="D744" r:id="rId743" display="http://www.intelliteccollege.edu/" xr:uid="{00000000-0004-0000-0100-0000E6020000}"/>
    <hyperlink ref="D745" r:id="rId744" display="http://www.iamd.edu/" xr:uid="{00000000-0004-0000-0100-0000E7020000}"/>
    <hyperlink ref="D746" r:id="rId745" display="http://www.academy.edu/" xr:uid="{00000000-0004-0000-0100-0000E8020000}"/>
    <hyperlink ref="D747" r:id="rId746" display="http://www.i-b-c.edu/" xr:uid="{00000000-0004-0000-0100-0000E9020000}"/>
    <hyperlink ref="D748" r:id="rId747" display="http://www.internationalcollege.edu/" xr:uid="{00000000-0004-0000-0100-0000EA020000}"/>
    <hyperlink ref="D749" r:id="rId748" display="http://www.iona.edu/" xr:uid="{00000000-0004-0000-0100-0000EB020000}"/>
    <hyperlink ref="D750" r:id="rId749" display="http://www.iastate.edu/" xr:uid="{00000000-0004-0000-0100-0000EC020000}"/>
    <hyperlink ref="D751" r:id="rId750" display="http://www.iwc.edu/" xr:uid="{00000000-0004-0000-0100-0000ED020000}"/>
    <hyperlink ref="D752" r:id="rId751" display="http://www.ithaca.edu/" xr:uid="{00000000-0004-0000-0100-0000EE020000}"/>
    <hyperlink ref="D753" r:id="rId752" display="http://www.itttech.edu/campus/" xr:uid="{00000000-0004-0000-0100-0000EF020000}"/>
    <hyperlink ref="D754" r:id="rId753" display="http://www.itttech.edu/campus/" xr:uid="{00000000-0004-0000-0100-0000F0020000}"/>
    <hyperlink ref="D755" r:id="rId754" display="http://www.itttech.edu/campus/" xr:uid="{00000000-0004-0000-0100-0000F1020000}"/>
    <hyperlink ref="D756" r:id="rId755" display="http://www.itttech.edu/campus/" xr:uid="{00000000-0004-0000-0100-0000F2020000}"/>
    <hyperlink ref="D757" r:id="rId756" display="http://www.itttech.edu/campus/" xr:uid="{00000000-0004-0000-0100-0000F3020000}"/>
    <hyperlink ref="D758" r:id="rId757" display="http://www.jsums.edu/" xr:uid="{00000000-0004-0000-0100-0000F4020000}"/>
    <hyperlink ref="D759" r:id="rId758" display="http://www.jsu.edu/" xr:uid="{00000000-0004-0000-0100-0000F5020000}"/>
    <hyperlink ref="D760" r:id="rId759" display="http://www.ju.edu/" xr:uid="{00000000-0004-0000-0100-0000F6020000}"/>
    <hyperlink ref="D761" r:id="rId760" display="http://www.jmu.edu/" xr:uid="{00000000-0004-0000-0100-0000F7020000}"/>
    <hyperlink ref="D762" r:id="rId761" display="http://www.jc.edu/" xr:uid="{00000000-0004-0000-0100-0000F8020000}"/>
    <hyperlink ref="D763" r:id="rId762" display="http://www.jarvis.edu/" xr:uid="{00000000-0004-0000-0100-0000F9020000}"/>
    <hyperlink ref="D764" r:id="rId763" display="http://www.jbu.edu/" xr:uid="{00000000-0004-0000-0100-0000FA020000}"/>
    <hyperlink ref="D765" r:id="rId764" display="http://www.jcu.edu/" xr:uid="{00000000-0004-0000-0100-0000FB020000}"/>
    <hyperlink ref="D766" r:id="rId765" display="http://www.jfku.edu/" xr:uid="{00000000-0004-0000-0100-0000FC020000}"/>
    <hyperlink ref="D767" r:id="rId766" display="http://www.jmls.edu/" xr:uid="{00000000-0004-0000-0100-0000FD020000}"/>
    <hyperlink ref="D768" r:id="rId767" display="http://www.jpcatholic.com/" xr:uid="{00000000-0004-0000-0100-0000FE020000}"/>
    <hyperlink ref="D769" r:id="rId768" display="http://www.jhu.edu/" xr:uid="{00000000-0004-0000-0100-0000FF020000}"/>
    <hyperlink ref="D770" r:id="rId769" display="http://www.jbc.edu/" xr:uid="{00000000-0004-0000-0100-000000030000}"/>
    <hyperlink ref="D771" r:id="rId770" display="http://www.jccc.edu/" xr:uid="{00000000-0004-0000-0100-000001030000}"/>
    <hyperlink ref="D772" r:id="rId771" display="http://www.jcsu.edu/" xr:uid="{00000000-0004-0000-0100-000002030000}"/>
    <hyperlink ref="D773" r:id="rId772" display="http://www.jsc.vsc.edu/" xr:uid="{00000000-0004-0000-0100-000003030000}"/>
    <hyperlink ref="D774" r:id="rId773" display="http://www.jwu.edu/" xr:uid="{00000000-0004-0000-0100-000004030000}"/>
    <hyperlink ref="E775" r:id="rId774" display="http://www.jwu.edu/charles/camp_charles.htm" xr:uid="{00000000-0004-0000-0100-000005030000}"/>
    <hyperlink ref="D776" r:id="rId775" display="http://www.johnwesley.edu/" xr:uid="{00000000-0004-0000-0100-000006030000}"/>
    <hyperlink ref="D777" r:id="rId776" display="http://www.jones.edu/" xr:uid="{00000000-0004-0000-0100-000007030000}"/>
    <hyperlink ref="D778" r:id="rId777" display="http://www.jonesinternational.edu/" xr:uid="{00000000-0004-0000-0100-000008030000}"/>
    <hyperlink ref="D779" r:id="rId778" display="http://www.judson-il.edu/" xr:uid="{00000000-0004-0000-0100-000009030000}"/>
    <hyperlink ref="D780" r:id="rId779" display="http://home.judson.edu/" xr:uid="{00000000-0004-0000-0100-00000A030000}"/>
    <hyperlink ref="D781" r:id="rId780" display="http://www.juniata.edu/" xr:uid="{00000000-0004-0000-0100-00000B030000}"/>
    <hyperlink ref="D782" r:id="rId781" display="http://www.kzoo.edu/" xr:uid="{00000000-0004-0000-0100-00000C030000}"/>
    <hyperlink ref="D783" r:id="rId782" display="http://www.kankakeecc.org/" xr:uid="{00000000-0004-0000-0100-00000D030000}"/>
    <hyperlink ref="D784" r:id="rId783" display="http://www.kcai.edu/" xr:uid="{00000000-0004-0000-0100-00000E030000}"/>
    <hyperlink ref="D785" r:id="rId784" display="http://www.ksu.edu/" xr:uid="{00000000-0004-0000-0100-00000F030000}"/>
    <hyperlink ref="D786" r:id="rId785" display="http://www.kwu.edu/" xr:uid="{00000000-0004-0000-0100-000010030000}"/>
    <hyperlink ref="D787" r:id="rId786" display="http://www.kaplan.edu/" xr:uid="{00000000-0004-0000-0100-000011030000}"/>
    <hyperlink ref="D788" r:id="rId787" display="http://www.kgibbs.com/" xr:uid="{00000000-0004-0000-0100-000012030000}"/>
    <hyperlink ref="D789" r:id="rId788" display="http://www.kean.edu/" xr:uid="{00000000-0004-0000-0100-000013030000}"/>
    <hyperlink ref="D790" r:id="rId789" display="http://www.kgi.edu/" xr:uid="{00000000-0004-0000-0100-000014030000}"/>
    <hyperlink ref="D791" r:id="rId790" display="http://www.keene.edu/" xr:uid="{00000000-0004-0000-0100-000015030000}"/>
    <hyperlink ref="D792" r:id="rId791" display="http://www.keller.edu/" xr:uid="{00000000-0004-0000-0100-000016030000}"/>
    <hyperlink ref="D793" r:id="rId792" display="http://www.kendall.edu/" xr:uid="{00000000-0004-0000-0100-000017030000}"/>
    <hyperlink ref="D794" r:id="rId793" display="http://www.kcad.edu/" xr:uid="{00000000-0004-0000-0100-000018030000}"/>
    <hyperlink ref="D795" r:id="rId794" display="http://www.kennesaw.edu/" xr:uid="{00000000-0004-0000-0100-000019030000}"/>
    <hyperlink ref="D796" r:id="rId795" display="http://www.kent.edu/" xr:uid="{00000000-0004-0000-0100-00001A030000}"/>
    <hyperlink ref="D797" r:id="rId796" display="http://www.ashtabula.kent.edu/" xr:uid="{00000000-0004-0000-0100-00001B030000}"/>
    <hyperlink ref="D798" r:id="rId797" display="http://www.kenteliv.kent.edu/" xr:uid="{00000000-0004-0000-0100-00001C030000}"/>
    <hyperlink ref="D799" r:id="rId798" display="http://www.salem.kent.edu/" xr:uid="{00000000-0004-0000-0100-00001D030000}"/>
    <hyperlink ref="D800" r:id="rId799" display="http://www.stark.kent.edu/" xr:uid="{00000000-0004-0000-0100-00001E030000}"/>
    <hyperlink ref="D801" r:id="rId800" display="http://www.trumbull.kent.edu/" xr:uid="{00000000-0004-0000-0100-00001F030000}"/>
    <hyperlink ref="D802" r:id="rId801" display="http://www.tusc.kent.edu/" xr:uid="{00000000-0004-0000-0100-000020030000}"/>
    <hyperlink ref="D803" r:id="rId802" display="http://www.kcc.edu/" xr:uid="{00000000-0004-0000-0100-000021030000}"/>
    <hyperlink ref="D804" r:id="rId803" display="http://www.kysu.edu/" xr:uid="{00000000-0004-0000-0100-000022030000}"/>
    <hyperlink ref="D805" r:id="rId804" display="http://www.kwc.edu/" xr:uid="{00000000-0004-0000-0100-000023030000}"/>
    <hyperlink ref="D806" r:id="rId805" display="http://www.kenyon.edu/" xr:uid="{00000000-0004-0000-0100-000024030000}"/>
    <hyperlink ref="D807" r:id="rId806" display="http://www.kettering.edu/" xr:uid="{00000000-0004-0000-0100-000025030000}"/>
    <hyperlink ref="D808" r:id="rId807" display="http://www.keuka.edu/" xr:uid="{00000000-0004-0000-0100-000026030000}"/>
    <hyperlink ref="D809" r:id="rId808" display="http://www.king.edu/" xr:uid="{00000000-0004-0000-0100-000027030000}"/>
    <hyperlink ref="D810" r:id="rId809" display="http://www.kings.edu/" xr:uid="{00000000-0004-0000-0100-000028030000}"/>
    <hyperlink ref="D811" r:id="rId810" display="http://www.kcom.edu/" xr:uid="{00000000-0004-0000-0100-000029030000}"/>
    <hyperlink ref="D812" r:id="rId811" display="http://www.kirkwood.edu/" xr:uid="{00000000-0004-0000-0100-00002A030000}"/>
    <hyperlink ref="D813" r:id="rId812" display="http://www.knox.edu/" xr:uid="{00000000-0004-0000-0100-00002B030000}"/>
    <hyperlink ref="D814" r:id="rId813" display="http://www.knoxvillecollege.edu/" xr:uid="{00000000-0004-0000-0100-00002C030000}"/>
    <hyperlink ref="D815" r:id="rId814" display="http://www.kutztown.edu/" xr:uid="{00000000-0004-0000-0100-00002D030000}"/>
    <hyperlink ref="D816" r:id="rId815" display="http://www.limcollege.edu/" xr:uid="{00000000-0004-0000-0100-00002E030000}"/>
    <hyperlink ref="D817" r:id="rId816" display="http://www.lafayette.edu/" xr:uid="{00000000-0004-0000-0100-00002F030000}"/>
    <hyperlink ref="D818" r:id="rId817" display="http://www.lgc.edu/" xr:uid="{00000000-0004-0000-0100-000030030000}"/>
    <hyperlink ref="D819" r:id="rId818" display="http://www.lakeerie.edu/" xr:uid="{00000000-0004-0000-0100-000031030000}"/>
    <hyperlink ref="D820" r:id="rId819" display="http://www.lfc.edu/" xr:uid="{00000000-0004-0000-0100-000032030000}"/>
    <hyperlink ref="D821" r:id="rId820" display="http://www.lfgsm.edu/" xr:uid="{00000000-0004-0000-0100-000033030000}"/>
    <hyperlink ref="D822" r:id="rId821" display="http://www.lakeland.edu/" xr:uid="{00000000-0004-0000-0100-000034030000}"/>
    <hyperlink ref="D823" r:id="rId822" display="http://www.lssu.edu/" xr:uid="{00000000-0004-0000-0100-000035030000}"/>
    <hyperlink ref="D824" r:id="rId823" display="http://www.lakeviewcol.edu/" xr:uid="{00000000-0004-0000-0100-000036030000}"/>
    <hyperlink ref="D825" r:id="rId824" display="http://www.lamar.edu/" xr:uid="{00000000-0004-0000-0100-000037030000}"/>
    <hyperlink ref="D826" r:id="rId825" display="http://www.pa.lamar.edu/" xr:uid="{00000000-0004-0000-0100-000038030000}"/>
    <hyperlink ref="D827" r:id="rId826" display="http://www.lambuth.edu/" xr:uid="{00000000-0004-0000-0100-000039030000}"/>
    <hyperlink ref="D828" r:id="rId827" display="http://www.lbc.edu/" xr:uid="{00000000-0004-0000-0100-00003A030000}"/>
    <hyperlink ref="D829" r:id="rId828" display="http://www.lander.edu/" xr:uid="{00000000-0004-0000-0100-00003B030000}"/>
    <hyperlink ref="D830" r:id="rId829" display="http://www.lanecollege.edu/" xr:uid="{00000000-0004-0000-0100-00003C030000}"/>
    <hyperlink ref="D831" r:id="rId830" display="http://www.lunet.edu/" xr:uid="{00000000-0004-0000-0100-00003D030000}"/>
    <hyperlink ref="D832" r:id="rId831" display="http://www.laroche.edu/" xr:uid="{00000000-0004-0000-0100-00003E030000}"/>
    <hyperlink ref="D833" r:id="rId832" display="http://www.lasalle.edu/" xr:uid="{00000000-0004-0000-0100-00003F030000}"/>
    <hyperlink ref="D834" r:id="rId833" display="http://www.lasell.edu/" xr:uid="{00000000-0004-0000-0100-000040030000}"/>
    <hyperlink ref="D835" r:id="rId834" display="http://www.lasierra.edu/" xr:uid="{00000000-0004-0000-0100-000041030000}"/>
    <hyperlink ref="D836" r:id="rId835" display="http://www.laurus.edu/" xr:uid="{00000000-0004-0000-0100-000042030000}"/>
    <hyperlink ref="D837" r:id="rId836" display="http://www.ltu.edu/" xr:uid="{00000000-0004-0000-0100-000043030000}"/>
    <hyperlink ref="D838" r:id="rId837" display="http://www.lawrence.edu/" xr:uid="{00000000-0004-0000-0100-000044030000}"/>
    <hyperlink ref="D839" r:id="rId838" display="http://www.lvc.edu/" xr:uid="{00000000-0004-0000-0100-000045030000}"/>
    <hyperlink ref="D840" r:id="rId839" display="http://www.lmc.edu/" xr:uid="{00000000-0004-0000-0100-000046030000}"/>
    <hyperlink ref="D841" r:id="rId840" display="http://www.leeuniversity.edu/" xr:uid="{00000000-0004-0000-0100-000047030000}"/>
    <hyperlink ref="D842" r:id="rId841" display="http://www.lehigh.edu/" xr:uid="{00000000-0004-0000-0100-000048030000}"/>
    <hyperlink ref="D843" r:id="rId842" display="http://www.lemoyne.edu/" xr:uid="{00000000-0004-0000-0100-000049030000}"/>
    <hyperlink ref="D844" r:id="rId843" display="http://www.lemoyne-owen.edu/" xr:uid="{00000000-0004-0000-0100-00004A030000}"/>
    <hyperlink ref="D845" r:id="rId844" display="http://www.lrc.edu/" xr:uid="{00000000-0004-0000-0100-00004B030000}"/>
    <hyperlink ref="D846" r:id="rId845" display="http://www.lesley.edu/" xr:uid="{00000000-0004-0000-0100-00004C030000}"/>
    <hyperlink ref="D847" r:id="rId846" display="http://www.letu.edu/" xr:uid="{00000000-0004-0000-0100-00004D030000}"/>
    <hyperlink ref="D848" r:id="rId847" display="http://www.lclark.edu/" xr:uid="{00000000-0004-0000-0100-00004E030000}"/>
    <hyperlink ref="D849" r:id="rId848" display="http://www.lc.cc.il.us/" xr:uid="{00000000-0004-0000-0100-00004F030000}"/>
    <hyperlink ref="D850" r:id="rId849" display="http://www.lcsc.edu/" xr:uid="{00000000-0004-0000-0100-000050030000}"/>
    <hyperlink ref="D851" r:id="rId850" display="http://www.lewisu.edu/" xr:uid="{00000000-0004-0000-0100-000051030000}"/>
    <hyperlink ref="D852" r:id="rId851" display="http://www.liberty.edu/" xr:uid="{00000000-0004-0000-0100-000052030000}"/>
    <hyperlink ref="D853" r:id="rId852" display="http://www.lifewest.edu/" xr:uid="{00000000-0004-0000-0100-000053030000}"/>
    <hyperlink ref="D854" r:id="rId853" display="http://www.life.edu/" xr:uid="{00000000-0004-0000-0100-000054030000}"/>
    <hyperlink ref="D855" r:id="rId854" display="http://www.limestone.edu/" xr:uid="{00000000-0004-0000-0100-000055030000}"/>
    <hyperlink ref="D856" r:id="rId855" display="http://www.lmunet.edu/" xr:uid="{00000000-0004-0000-0100-000056030000}"/>
    <hyperlink ref="D857" r:id="rId856" display="http://www.lincolnu.edu/" xr:uid="{00000000-0004-0000-0100-000057030000}"/>
    <hyperlink ref="D858" r:id="rId857" display="http://www.lincoln.edu/" xr:uid="{00000000-0004-0000-0100-000058030000}"/>
    <hyperlink ref="D859" r:id="rId858" display="http://www.lincolnuca.edu/" xr:uid="{00000000-0004-0000-0100-000059030000}"/>
    <hyperlink ref="D860" r:id="rId859" display="http://www.lindenwood.edu/" xr:uid="{00000000-0004-0000-0100-00005A030000}"/>
    <hyperlink ref="D861" r:id="rId860" display="http://www.lindsey.edu/" xr:uid="{00000000-0004-0000-0100-00005B030000}"/>
    <hyperlink ref="D862" r:id="rId861" display="http://www.linfield.edu/" xr:uid="{00000000-0004-0000-0100-00005C030000}"/>
    <hyperlink ref="D863" r:id="rId862" display="http://www.lipscomb.edu/" xr:uid="{00000000-0004-0000-0100-00005D030000}"/>
    <hyperlink ref="D864" r:id="rId863" display="http://www.livingstone.edu/" xr:uid="{00000000-0004-0000-0100-00005E030000}"/>
    <hyperlink ref="D865" r:id="rId864" display="http://www.lhup.edu/" xr:uid="{00000000-0004-0000-0100-00005F030000}"/>
    <hyperlink ref="D866" r:id="rId865" display="http://www.logan.edu/" xr:uid="{00000000-0004-0000-0100-000060030000}"/>
    <hyperlink ref="D867" r:id="rId866" display="http://www.llu.edu/" xr:uid="{00000000-0004-0000-0100-000061030000}"/>
    <hyperlink ref="D868" r:id="rId867" display="http://www.liunet.edu/" xr:uid="{00000000-0004-0000-0100-000062030000}"/>
    <hyperlink ref="E869" r:id="rId868" display="http://www.cwpost.liunet.edu/cwis/cwp/post.html" xr:uid="{00000000-0004-0000-0100-000063030000}"/>
    <hyperlink ref="E870" r:id="rId869" display="http://www.southampton.liunet.edu/" xr:uid="{00000000-0004-0000-0100-000064030000}"/>
    <hyperlink ref="D871" r:id="rId870" display="http://www.lwc.edu/" xr:uid="{00000000-0004-0000-0100-000065030000}"/>
    <hyperlink ref="D872" r:id="rId871" display="http://www.loras.edu/" xr:uid="{00000000-0004-0000-0100-000066030000}"/>
    <hyperlink ref="D873" r:id="rId872" display="http://www.lacc.edu/" xr:uid="{00000000-0004-0000-0100-000067030000}"/>
    <hyperlink ref="D874" r:id="rId873" display="http://www.lbu.edu/" xr:uid="{00000000-0004-0000-0100-000068030000}"/>
    <hyperlink ref="D875" r:id="rId874" display="http://www.lacollege.edu/" xr:uid="{00000000-0004-0000-0100-000069030000}"/>
    <hyperlink ref="D876" r:id="rId875" display="http://www.lsu.edu/" xr:uid="{00000000-0004-0000-0100-00006A030000}"/>
    <hyperlink ref="D877" r:id="rId876" display="http://www.lsua.edu/" xr:uid="{00000000-0004-0000-0100-00006B030000}"/>
    <hyperlink ref="D878" r:id="rId877" display="http://www.lsue.edu/" xr:uid="{00000000-0004-0000-0100-00006C030000}"/>
    <hyperlink ref="D879" r:id="rId878" display="http://www.lsuhsc.edu/" xr:uid="{00000000-0004-0000-0100-00006D030000}"/>
    <hyperlink ref="D880" r:id="rId879" display="http://www.lsus.edu/" xr:uid="{00000000-0004-0000-0100-00006E030000}"/>
    <hyperlink ref="D881" r:id="rId880" display="http://www.latech.edu/" xr:uid="{00000000-0004-0000-0100-00006F030000}"/>
    <hyperlink ref="D882" r:id="rId881" display="http://www.lourdes.edu/" xr:uid="{00000000-0004-0000-0100-000070030000}"/>
    <hyperlink ref="D883" r:id="rId882" display="http://www.loyola.edu/" xr:uid="{00000000-0004-0000-0100-000071030000}"/>
    <hyperlink ref="D884" r:id="rId883" display="http://www.lmu.edu/" xr:uid="{00000000-0004-0000-0100-000072030000}"/>
    <hyperlink ref="D885" r:id="rId884" display="http://www.loyno.edu/" xr:uid="{00000000-0004-0000-0100-000073030000}"/>
    <hyperlink ref="D886" r:id="rId885" display="http://www.luc.edu/" xr:uid="{00000000-0004-0000-0100-000074030000}"/>
    <hyperlink ref="D887" r:id="rId886" display="http://www.lcu.edu/" xr:uid="{00000000-0004-0000-0100-000075030000}"/>
    <hyperlink ref="D888" r:id="rId887" display="http://www.lbi.edu/" xr:uid="{00000000-0004-0000-0100-000076030000}"/>
    <hyperlink ref="D889" r:id="rId888" display="http://www.luther.edu/" xr:uid="{00000000-0004-0000-0100-000077030000}"/>
    <hyperlink ref="D890" r:id="rId889" display="http://www.lycoming.edu/" xr:uid="{00000000-0004-0000-0100-000078030000}"/>
    <hyperlink ref="D891" r:id="rId890" display="http://www.lynchburg.edu/" xr:uid="{00000000-0004-0000-0100-000079030000}"/>
    <hyperlink ref="D892" r:id="rId891" display="http://www.lsc.vsc.edu/" xr:uid="{00000000-0004-0000-0100-00007A030000}"/>
    <hyperlink ref="D893" r:id="rId892" display="http://www.lynn.edu/" xr:uid="{00000000-0004-0000-0100-00007B030000}"/>
    <hyperlink ref="D894" r:id="rId893" display="http://www.lyon.edu/" xr:uid="{00000000-0004-0000-0100-00007C030000}"/>
    <hyperlink ref="D895" r:id="rId894" display="http://www.macalstr.edu/" xr:uid="{00000000-0004-0000-0100-00007D030000}"/>
    <hyperlink ref="D896" r:id="rId895" display="http://www.mac.edu/" xr:uid="{00000000-0004-0000-0100-00007E030000}"/>
    <hyperlink ref="D897" r:id="rId896" display="http://www.maconstate.edu/" xr:uid="{00000000-0004-0000-0100-00007F030000}"/>
    <hyperlink ref="D898" r:id="rId897" display="http://www.madisonu.com/" xr:uid="{00000000-0004-0000-0100-000080030000}"/>
    <hyperlink ref="D899" r:id="rId898" display="http://madonna2.siteobjects.com/pages/index.cfm" xr:uid="{00000000-0004-0000-0100-000081030000}"/>
    <hyperlink ref="D900" r:id="rId899" display="http://www.mum.edu/" xr:uid="{00000000-0004-0000-0100-000082030000}"/>
    <hyperlink ref="D901" r:id="rId900" display="http://www.meca.edu/" xr:uid="{00000000-0004-0000-0100-000083030000}"/>
    <hyperlink ref="D902" r:id="rId901" display="http://www.mainemaritime.edu/" xr:uid="{00000000-0004-0000-0100-000084030000}"/>
    <hyperlink ref="D903" r:id="rId902" display="http://www.malone.edu/" xr:uid="{00000000-0004-0000-0100-000085030000}"/>
    <hyperlink ref="D904" r:id="rId903" display="http://www.manchester.edu/" xr:uid="{00000000-0004-0000-0100-000086030000}"/>
    <hyperlink ref="D905" r:id="rId904" display="http://www.mccks.edu/" xr:uid="{00000000-0004-0000-0100-000087030000}"/>
    <hyperlink ref="D906" r:id="rId905" display="http://www.mancol.edu/" xr:uid="{00000000-0004-0000-0100-000088030000}"/>
    <hyperlink ref="D907" r:id="rId906" display="http://www.msmnyc.edu/" xr:uid="{00000000-0004-0000-0100-000089030000}"/>
    <hyperlink ref="D908" r:id="rId907" display="http://www.mville.edu/" xr:uid="{00000000-0004-0000-0100-00008A030000}"/>
    <hyperlink ref="D909" r:id="rId908" display="http://www.mankato.msus.edu/" xr:uid="{00000000-0004-0000-0100-00008B030000}"/>
    <hyperlink ref="D910" r:id="rId909" display="http://www.mnsfld.edu/" xr:uid="{00000000-0004-0000-0100-00008C030000}"/>
    <hyperlink ref="D911" r:id="rId910" display="http://www.mbbc.edu/" xr:uid="{00000000-0004-0000-0100-00008D030000}"/>
    <hyperlink ref="D912" r:id="rId911" display="http://www.marian.edu/" xr:uid="{00000000-0004-0000-0100-00008E030000}"/>
    <hyperlink ref="D913" r:id="rId912" display="http://www.mariancoll.edu/" xr:uid="{00000000-0004-0000-0100-00008F030000}"/>
    <hyperlink ref="D914" r:id="rId913" display="http://www.marietta.edu/" xr:uid="{00000000-0004-0000-0100-000090030000}"/>
    <hyperlink ref="D915" r:id="rId914" display="http://www.marist.edu/" xr:uid="{00000000-0004-0000-0100-000091030000}"/>
    <hyperlink ref="D916" r:id="rId915" display="http://www.marlboro.edu/" xr:uid="{00000000-0004-0000-0100-000092030000}"/>
    <hyperlink ref="D917" r:id="rId916" display="http://www.mu.edu/" xr:uid="{00000000-0004-0000-0100-000093030000}"/>
    <hyperlink ref="D918" r:id="rId917" display="http://www.marshall.edu/" xr:uid="{00000000-0004-0000-0100-000094030000}"/>
    <hyperlink ref="D919" r:id="rId918" display="http://www.mhc.edu/" xr:uid="{00000000-0004-0000-0100-000095030000}"/>
    <hyperlink ref="D920" r:id="rId919" display="http://www.mlc-wels.edu/" xr:uid="{00000000-0004-0000-0100-000096030000}"/>
    <hyperlink ref="D921" r:id="rId920" display="http://www.martinmethodist.edu/" xr:uid="{00000000-0004-0000-0100-000097030000}"/>
    <hyperlink ref="D922" r:id="rId921" display="http://www.martin.edu/" xr:uid="{00000000-0004-0000-0100-000098030000}"/>
    <hyperlink ref="D923" r:id="rId922" display="http://www.mbc.edu/" xr:uid="{00000000-0004-0000-0100-000099030000}"/>
    <hyperlink ref="D924" r:id="rId923" display="http://www.mcrest.edu/" xr:uid="{00000000-0004-0000-0100-00009A030000}"/>
    <hyperlink ref="D925" r:id="rId924" display="http://www.marygrove.edu/" xr:uid="{00000000-0004-0000-0100-00009B030000}"/>
    <hyperlink ref="D926" r:id="rId925" display="http://www.marylhurst.edu/" xr:uid="{00000000-0004-0000-0100-00009C030000}"/>
    <hyperlink ref="D927" r:id="rId926" display="http://www.marymt.edu/" xr:uid="{00000000-0004-0000-0100-00009D030000}"/>
    <hyperlink ref="D928" r:id="rId927" display="http://marymount.mmm.edu/" xr:uid="{00000000-0004-0000-0100-00009E030000}"/>
    <hyperlink ref="D929" r:id="rId928" display="http://www.marymount.edu/" xr:uid="{00000000-0004-0000-0100-00009F030000}"/>
    <hyperlink ref="D930" r:id="rId929" display="http://www.maryvillecollege.edu/" xr:uid="{00000000-0004-0000-0100-0000A0030000}"/>
    <hyperlink ref="D931" r:id="rId930" display="http://www.maryvillestl.edu/" xr:uid="{00000000-0004-0000-0100-0000A1030000}"/>
    <hyperlink ref="D932" r:id="rId931" display="http://www.mwc.edu/" xr:uid="{00000000-0004-0000-0100-0000A2030000}"/>
    <hyperlink ref="D933" r:id="rId932" display="http://www.marywood.edu/" xr:uid="{00000000-0004-0000-0100-0000A3030000}"/>
    <hyperlink ref="D934" r:id="rId933" display="http://www.massart.edu/" xr:uid="{00000000-0004-0000-0100-0000A4030000}"/>
    <hyperlink ref="D935" r:id="rId934" display="http://www.mcla.mass.edu/" xr:uid="{00000000-0004-0000-0100-0000A5030000}"/>
    <hyperlink ref="D936" r:id="rId935" display="http://www.mcp.edu/" xr:uid="{00000000-0004-0000-0100-0000A6030000}"/>
    <hyperlink ref="D937" r:id="rId936" display="http://www.mit.edu/" xr:uid="{00000000-0004-0000-0100-0000A7030000}"/>
    <hyperlink ref="D938" r:id="rId937" display="http://www.mma.mass.edu/" xr:uid="{00000000-0004-0000-0100-0000A8030000}"/>
    <hyperlink ref="D939" r:id="rId938" display="http://www.mspp.edu/" xr:uid="{00000000-0004-0000-0100-0000A9030000}"/>
    <hyperlink ref="D940" r:id="rId939" display="http://www.mayo.edu/mgs/gs.html" xr:uid="{00000000-0004-0000-0100-0000AA030000}"/>
    <hyperlink ref="D941" r:id="rId940" display="http://www.mayo.edu/education/mms/" xr:uid="{00000000-0004-0000-0100-0000AB030000}"/>
    <hyperlink ref="D942" r:id="rId941" display="http://www.masu.nodak.edu/" xr:uid="{00000000-0004-0000-0100-0000AC030000}"/>
    <hyperlink ref="D943" r:id="rId942" display="http://www.mckendree.edu/" xr:uid="{00000000-0004-0000-0100-0000AD030000}"/>
    <hyperlink ref="D944" r:id="rId943" display="http://www.mcm.edu/" xr:uid="{00000000-0004-0000-0100-0000AE030000}"/>
    <hyperlink ref="D945" r:id="rId944" display="http://www.mcneese.edu/" xr:uid="{00000000-0004-0000-0100-0000AF030000}"/>
    <hyperlink ref="D946" r:id="rId945" display="http://www.mcpherson.edu/" xr:uid="{00000000-0004-0000-0100-0000B0030000}"/>
    <hyperlink ref="D947" r:id="rId946" display="http://www.medaille.edu/" xr:uid="{00000000-0004-0000-0100-0000B1030000}"/>
    <hyperlink ref="D948" r:id="rId947" display="http://www.medcenterone.com/nursing/nursing.htm" xr:uid="{00000000-0004-0000-0100-0000B2030000}"/>
    <hyperlink ref="D949" r:id="rId948" display="http://www.mcg.edu/" xr:uid="{00000000-0004-0000-0100-0000B3030000}"/>
    <hyperlink ref="D950" r:id="rId949" display="http://www.mco.edu/" xr:uid="{00000000-0004-0000-0100-0000B4030000}"/>
    <hyperlink ref="D951" r:id="rId950" display="http://www.mcphu.edu/" xr:uid="{00000000-0004-0000-0100-0000B5030000}"/>
    <hyperlink ref="D952" r:id="rId951" display="http://www.mcw.edu/" xr:uid="{00000000-0004-0000-0100-0000B6030000}"/>
    <hyperlink ref="D953" r:id="rId952" display="http://www.musc.edu/" xr:uid="{00000000-0004-0000-0100-0000B7030000}"/>
    <hyperlink ref="D954" r:id="rId953" display="http://www.mmc.edu/" xr:uid="{00000000-0004-0000-0100-0000B8030000}"/>
    <hyperlink ref="D955" r:id="rId954" display="http://www.mca.edu/" xr:uid="{00000000-0004-0000-0100-0000B9030000}"/>
    <hyperlink ref="D956" r:id="rId955" display="http://www.menlo.edu/" xr:uid="{00000000-0004-0000-0100-0000BA030000}"/>
    <hyperlink ref="D957" r:id="rId956" display="http://www.mcn.ilstu.edu/" xr:uid="{00000000-0004-0000-0100-0000BB030000}"/>
    <hyperlink ref="D958" r:id="rId957" display="http://www.mercer.edu/" xr:uid="{00000000-0004-0000-0100-0000BC030000}"/>
    <hyperlink ref="E959" r:id="rId958" display="http://www.mercer.edu/cbd/" xr:uid="{00000000-0004-0000-0100-0000BD030000}"/>
    <hyperlink ref="D960" r:id="rId959" display="http://www.mercynet.edu/" xr:uid="{00000000-0004-0000-0100-0000BE030000}"/>
    <hyperlink ref="D961" r:id="rId960" display="http://www.mercyhurst.edu/" xr:uid="{00000000-0004-0000-0100-0000BF030000}"/>
    <hyperlink ref="D962" r:id="rId961" display="http://www.meredith.edu/" xr:uid="{00000000-0004-0000-0100-0000C0030000}"/>
    <hyperlink ref="D963" r:id="rId962" display="http://www.merrimack.edu/" xr:uid="{00000000-0004-0000-0100-0000C1030000}"/>
    <hyperlink ref="D964" r:id="rId963" display="http://www.mesastate.edu/" xr:uid="{00000000-0004-0000-0100-0000C2030000}"/>
    <hyperlink ref="D965" r:id="rId964" display="http://www.messiah.edu/" xr:uid="{00000000-0004-0000-0100-0000C3030000}"/>
    <hyperlink ref="D966" r:id="rId965" display="http://www.methodist.edu/" xr:uid="{00000000-0004-0000-0100-0000C4030000}"/>
    <hyperlink ref="D967" r:id="rId966" display="http://www.mscd.edu/" xr:uid="{00000000-0004-0000-0100-0000C5030000}"/>
    <hyperlink ref="D968" r:id="rId967" display="http://www.metro.msus.edu/" xr:uid="{00000000-0004-0000-0100-0000C6030000}"/>
    <hyperlink ref="D969" r:id="rId968" display="http://www.mghihp.edu/" xr:uid="{00000000-0004-0000-0100-0000C7030000}"/>
    <hyperlink ref="D970" r:id="rId969" display="http://www.mdc.edu/" xr:uid="{00000000-0004-0000-0100-0000C8030000}"/>
    <hyperlink ref="D971" r:id="rId970" display="http://www.muohio.edu/" xr:uid="{00000000-0004-0000-0100-0000C9030000}"/>
    <hyperlink ref="D972" r:id="rId971" display="http://www.ham.muohio.edu/" xr:uid="{00000000-0004-0000-0100-0000CA030000}"/>
    <hyperlink ref="D973" r:id="rId972" display="http://www.mid.muohio.edu/" xr:uid="{00000000-0004-0000-0100-0000CB030000}"/>
    <hyperlink ref="D974" r:id="rId973" display="http://www.mispp.edu/" xr:uid="{00000000-0004-0000-0100-0000CC030000}"/>
    <hyperlink ref="D975" r:id="rId974" display="http://www.msu.edu/" xr:uid="{00000000-0004-0000-0100-0000CD030000}"/>
    <hyperlink ref="D976" r:id="rId975" display="http://www.mtu.edu/" xr:uid="{00000000-0004-0000-0100-0000CE030000}"/>
    <hyperlink ref="D977" r:id="rId976" display="http://www.mnu.edu/" xr:uid="{00000000-0004-0000-0100-0000CF030000}"/>
    <hyperlink ref="D978" r:id="rId977" display="http://www.concentric.net/~rkriesel/MBC/MBC.shtml" xr:uid="{00000000-0004-0000-0100-0000D0030000}"/>
    <hyperlink ref="D979" r:id="rId978" display="http://www.mcbc.edu/" xr:uid="{00000000-0004-0000-0100-0000D1030000}"/>
    <hyperlink ref="D980" r:id="rId979" display="http://www.middlebury.edu/" xr:uid="{00000000-0004-0000-0100-0000D2030000}"/>
    <hyperlink ref="D981" r:id="rId980" display="http://www.mtsu.edu/" xr:uid="{00000000-0004-0000-0100-0000D3030000}"/>
    <hyperlink ref="D982" r:id="rId981" display="http://www.mlc.edu/" xr:uid="{00000000-0004-0000-0100-0000D4030000}"/>
    <hyperlink ref="D983" r:id="rId982" display="http://www.midway.edu/" xr:uid="{00000000-0004-0000-0100-0000D5030000}"/>
    <hyperlink ref="D984" r:id="rId983" display="http://www.mwsu.edu/" xr:uid="{00000000-0004-0000-0100-0000D6030000}"/>
    <hyperlink ref="D985" r:id="rId984" display="http://www.midwestern.edu/" xr:uid="{00000000-0004-0000-0100-0000D7030000}"/>
    <hyperlink ref="D986" r:id="rId985" display="http://www.miles.edu/" xr:uid="{00000000-0004-0000-0100-0000D8030000}"/>
    <hyperlink ref="D987" r:id="rId986" display="http://www.maufl.edu/" xr:uid="{00000000-0004-0000-0100-0000D9030000}"/>
    <hyperlink ref="D988" r:id="rId987" display="http://www.millersv.edu/" xr:uid="{00000000-0004-0000-0100-0000DA030000}"/>
    <hyperlink ref="D989" r:id="rId988" display="http://www.milligan.edu/" xr:uid="{00000000-0004-0000-0100-0000DB030000}"/>
    <hyperlink ref="D990" r:id="rId989" display="http://www.millikin.edu/" xr:uid="{00000000-0004-0000-0100-0000DC030000}"/>
    <hyperlink ref="D991" r:id="rId990" display="http://www.millsaps.edu/" xr:uid="{00000000-0004-0000-0100-0000DD030000}"/>
    <hyperlink ref="D992" r:id="rId991" display="http://www.mills.edu/" xr:uid="{00000000-0004-0000-0100-0000DE030000}"/>
    <hyperlink ref="D993" r:id="rId992" display="http://www.mgu.edu/" xr:uid="{00000000-0004-0000-0100-0000DF030000}"/>
    <hyperlink ref="D994" r:id="rId993" display="http://www.miad.edu/" xr:uid="{00000000-0004-0000-0100-0000E0030000}"/>
    <hyperlink ref="D995" r:id="rId994" display="http://www.msoe.edu/" xr:uid="{00000000-0004-0000-0100-0000E1030000}"/>
    <hyperlink ref="D996" r:id="rId995" display="http://www.mcad.edu/" xr:uid="{00000000-0004-0000-0100-0000E2030000}"/>
    <hyperlink ref="D997" r:id="rId996" display="http://www.mnbc.edu/" xr:uid="{00000000-0004-0000-0100-0000E3030000}"/>
    <hyperlink ref="D998" r:id="rId997" display="http://www.aspp.edu/mn.html" xr:uid="{00000000-0004-0000-0100-0000E4030000}"/>
    <hyperlink ref="D999" r:id="rId998" display="http://www.misu.nodak.edu/" xr:uid="{00000000-0004-0000-0100-0000E5030000}"/>
    <hyperlink ref="D1000" r:id="rId999" display="http://www.mc.edu/" xr:uid="{00000000-0004-0000-0100-0000E6030000}"/>
    <hyperlink ref="D1001" r:id="rId1000" display="http://www.msstate.edu/" xr:uid="{00000000-0004-0000-0100-0000E7030000}"/>
    <hyperlink ref="D1002" r:id="rId1001" display="http://www.muw.edu/" xr:uid="{00000000-0004-0000-0100-0000E8030000}"/>
    <hyperlink ref="D1003" r:id="rId1002" display="http://www.mvsu.edu/" xr:uid="{00000000-0004-0000-0100-0000E9030000}"/>
    <hyperlink ref="D1004" r:id="rId1003" display="http://www.mobap.edu/" xr:uid="{00000000-0004-0000-0100-0000EA030000}"/>
    <hyperlink ref="D1005" r:id="rId1004" display="http://www.mssc.edu/" xr:uid="{00000000-0004-0000-0100-0000EB030000}"/>
    <hyperlink ref="D1006" r:id="rId1005" display="http://www.motech.edu/" xr:uid="{00000000-0004-0000-0100-0000EC030000}"/>
    <hyperlink ref="D1007" r:id="rId1006" display="http://www.mst.edu/" xr:uid="{00000000-0004-0000-0100-0000ED030000}"/>
    <hyperlink ref="D1008" r:id="rId1007" display="http://www.murlin.com/~webfx/mvc/" xr:uid="{00000000-0004-0000-0100-0000EE030000}"/>
    <hyperlink ref="D1009" r:id="rId1008" display="http://www.mwsc.edu/" xr:uid="{00000000-0004-0000-0100-0000EF030000}"/>
    <hyperlink ref="D1010" r:id="rId1009" display="http://www.molloy.edu/" xr:uid="{00000000-0004-0000-0100-0000F0030000}"/>
    <hyperlink ref="D1011" r:id="rId1010" display="http://www.monmouth.edu/" xr:uid="{00000000-0004-0000-0100-0000F1030000}"/>
    <hyperlink ref="D1012" r:id="rId1011" display="http://www.montana.edu/" xr:uid="{00000000-0004-0000-0100-0000F2030000}"/>
    <hyperlink ref="D1013" r:id="rId1012" display="http://www.msubillings.edu/" xr:uid="{00000000-0004-0000-0100-0000F3030000}"/>
    <hyperlink ref="D1014" r:id="rId1013" display="http://www.msun.edu/" xr:uid="{00000000-0004-0000-0100-0000F4030000}"/>
    <hyperlink ref="D1015" r:id="rId1014" display="http://www.mtech.edu/" xr:uid="{00000000-0004-0000-0100-0000F5030000}"/>
    <hyperlink ref="D1016" r:id="rId1015" display="http://www.montclair.edu/" xr:uid="{00000000-0004-0000-0100-0000F6030000}"/>
    <hyperlink ref="D1017" r:id="rId1016" display="http://www.miis.edu/" xr:uid="{00000000-0004-0000-0100-0000F7030000}"/>
    <hyperlink ref="D1018" r:id="rId1017" display="http://www.montreat.edu/" xr:uid="{00000000-0004-0000-0100-0000F8030000}"/>
    <hyperlink ref="D1019" r:id="rId1018" display="http://www.montserrat.edu/" xr:uid="{00000000-0004-0000-0100-0000F9030000}"/>
    <hyperlink ref="D1020" r:id="rId1019" display="http://www.moody.edu/" xr:uid="{00000000-0004-0000-0100-0000FA030000}"/>
    <hyperlink ref="D1021" r:id="rId1020" display="http://www.moore.edu/" xr:uid="{00000000-0004-0000-0100-0000FB030000}"/>
    <hyperlink ref="D1022" r:id="rId1021" display="http://www.moorhead.msus.edu/" xr:uid="{00000000-0004-0000-0100-0000FC030000}"/>
    <hyperlink ref="D1023" r:id="rId1022" display="http://www.morainevalley.edu/" xr:uid="{00000000-0004-0000-0100-0000FD030000}"/>
    <hyperlink ref="D1024" r:id="rId1023" display="http://www.moravian.edu/" xr:uid="{00000000-0004-0000-0100-0000FE030000}"/>
    <hyperlink ref="D1025" r:id="rId1024" display="http://www.morehead-st.edu/" xr:uid="{00000000-0004-0000-0100-0000FF030000}"/>
    <hyperlink ref="D1026" r:id="rId1025" display="http://www.morehouse.edu/" xr:uid="{00000000-0004-0000-0100-000000040000}"/>
    <hyperlink ref="D1027" r:id="rId1026" display="http://www.msm.edu/" xr:uid="{00000000-0004-0000-0100-000001040000}"/>
    <hyperlink ref="D1028" r:id="rId1027" display="http://www.morgan.edu/" xr:uid="{00000000-0004-0000-0100-000002040000}"/>
    <hyperlink ref="D1029" r:id="rId1028" display="http://www.morningside.edu/" xr:uid="{00000000-0004-0000-0100-000003040000}"/>
    <hyperlink ref="D1030" r:id="rId1029" display="http://www.morrisbrown.edu/" xr:uid="{00000000-0004-0000-0100-000004040000}"/>
    <hyperlink ref="D1031" r:id="rId1030" display="http://www.scicu.org/morris/" xr:uid="{00000000-0004-0000-0100-000005040000}"/>
    <hyperlink ref="D1032" r:id="rId1031" display="http://www.morrison.neumont.edu/" xr:uid="{00000000-0004-0000-0100-000006040000}"/>
    <hyperlink ref="D1033" r:id="rId1032" display="http://www.mountainstate.edu/" xr:uid="{00000000-0004-0000-0100-000007040000}"/>
    <hyperlink ref="D1034" r:id="rId1033" display="http://www.mtaloy.edu/" xr:uid="{00000000-0004-0000-0100-000008040000}"/>
    <hyperlink ref="D1035" r:id="rId1034" display="http://www.mccn.edu/" xr:uid="{00000000-0004-0000-0100-000009040000}"/>
    <hyperlink ref="D1036" r:id="rId1035" display="http://www.mtholyoke.edu/" xr:uid="{00000000-0004-0000-0100-00000A040000}"/>
    <hyperlink ref="D1037" r:id="rId1036" display="http://www.mountida.edu/" xr:uid="{00000000-0004-0000-0100-00000B040000}"/>
    <hyperlink ref="D1038" r:id="rId1037" display="http://www.mtmc.edu/" xr:uid="{00000000-0004-0000-0100-00000C040000}"/>
    <hyperlink ref="D1039" r:id="rId1038" display="http://www.mtmary.edu/" xr:uid="{00000000-0004-0000-0100-00000D040000}"/>
    <hyperlink ref="D1040" r:id="rId1039" display="http://www.mtmercy.edu/" xr:uid="{00000000-0004-0000-0100-00000E040000}"/>
    <hyperlink ref="D1041" r:id="rId1040" display="http://www.mountolivecollege.edu/" xr:uid="{00000000-0004-0000-0100-00000F040000}"/>
    <hyperlink ref="D1042" r:id="rId1041" display="http://www.mscfs.edu/" xr:uid="{00000000-0004-0000-0100-000010040000}"/>
    <hyperlink ref="D1043" r:id="rId1042" display="http://www.mssm.edu/" xr:uid="{00000000-0004-0000-0100-000011040000}"/>
    <hyperlink ref="D1044" r:id="rId1043" display="http://www.clare.edu/" xr:uid="{00000000-0004-0000-0100-000012040000}"/>
    <hyperlink ref="D1045" r:id="rId1044" display="http://www.msmc.edu/" xr:uid="{00000000-0004-0000-0100-000013040000}"/>
    <hyperlink ref="D1046" r:id="rId1045" display="http://www.msmc.la.edu/" xr:uid="{00000000-0004-0000-0100-000014040000}"/>
    <hyperlink ref="D1047" r:id="rId1046" display="http://www.msmary.edu/" xr:uid="{00000000-0004-0000-0100-000015040000}"/>
    <hyperlink ref="D1048" r:id="rId1047" display="http://www.mountunion.edu/" xr:uid="{00000000-0004-0000-0100-000016040000}"/>
    <hyperlink ref="D1049" r:id="rId1048" display="http://www.gwu.edu/~mvcgw/" xr:uid="{00000000-0004-0000-0100-000017040000}"/>
    <hyperlink ref="D1050" r:id="rId1049" display="http://www.mvnc.edu/" xr:uid="{00000000-0004-0000-0100-000018040000}"/>
    <hyperlink ref="D1051" r:id="rId1050" display="http://www.muhlberg.edu/" xr:uid="{00000000-0004-0000-0100-000019040000}"/>
    <hyperlink ref="D1052" r:id="rId1051" display="http://www.multnomah.edu/" xr:uid="{00000000-0004-0000-0100-00001A040000}"/>
    <hyperlink ref="D1053" r:id="rId1052" display="http://www.mursuky.edu/" xr:uid="{00000000-0004-0000-0100-00001B040000}"/>
    <hyperlink ref="D1054" r:id="rId1053" display="http://www.muskingum.edu/" xr:uid="{00000000-0004-0000-0100-00001C040000}"/>
    <hyperlink ref="D1055" r:id="rId1054" display="http://www.naes.indian.com/" xr:uid="{00000000-0004-0000-0100-00001D040000}"/>
    <hyperlink ref="D1056" r:id="rId1055" display="http://www.national.edu/" xr:uid="{00000000-0004-0000-0100-00001E040000}"/>
    <hyperlink ref="E1057" r:id="rId1056" display="http://www.national.edu/albuquerque.html" xr:uid="{00000000-0004-0000-0100-00001F040000}"/>
    <hyperlink ref="E1058" r:id="rId1057" display="http://www.national.edu/col_springs.html" xr:uid="{00000000-0004-0000-0100-000020040000}"/>
    <hyperlink ref="E1059" r:id="rId1058" display="http://www.national.edu/denver.html" xr:uid="{00000000-0004-0000-0100-000021040000}"/>
    <hyperlink ref="E1060" r:id="rId1059" display="http://www.national.edu/kansas_city.html" xr:uid="{00000000-0004-0000-0100-000022040000}"/>
    <hyperlink ref="E1061" r:id="rId1060" display="http://www.national.edu/roseville.html" xr:uid="{00000000-0004-0000-0100-000023040000}"/>
    <hyperlink ref="E1062" r:id="rId1061" display="http://www.national.edu/sioux_falls.html" xr:uid="{00000000-0004-0000-0100-000024040000}"/>
    <hyperlink ref="D1063" r:id="rId1062" display="http://www.national.chiropractic.edu/" xr:uid="{00000000-0004-0000-0100-000025040000}"/>
    <hyperlink ref="D1064" r:id="rId1063" display="http://www.ncnm.edu/" xr:uid="{00000000-0004-0000-0100-000026040000}"/>
    <hyperlink ref="D1065" r:id="rId1064" display="http://www.ndu.edu/" xr:uid="{00000000-0004-0000-0100-000027040000}"/>
    <hyperlink ref="D1066" r:id="rId1065" display="http://www.nhu.edu/" xr:uid="{00000000-0004-0000-0100-000028040000}"/>
    <hyperlink ref="D1067" r:id="rId1066" display="http://www.nl.edu/" xr:uid="{00000000-0004-0000-0100-000029040000}"/>
    <hyperlink ref="D1068" r:id="rId1067" display="http://www.ntu.edu/" xr:uid="{00000000-0004-0000-0100-00002A040000}"/>
    <hyperlink ref="D1069" r:id="rId1068" display="http://www.denvercenter.org/education/ed_ntc.htm" xr:uid="{00000000-0004-0000-0100-00002B040000}"/>
    <hyperlink ref="D1070" r:id="rId1069" display="http://www.nu.edu/" xr:uid="{00000000-0004-0000-0100-00002C040000}"/>
    <hyperlink ref="D1071" r:id="rId1070" display="http://www.nps.navy.mil/" xr:uid="{00000000-0004-0000-0100-00002D040000}"/>
    <hyperlink ref="D1072" r:id="rId1071" display="http://www.nbc.edu/" xr:uid="{00000000-0004-0000-0100-00002E040000}"/>
    <hyperlink ref="D1073" r:id="rId1072" display="http://www.naz.edu/" xr:uid="{00000000-0004-0000-0100-00002F040000}"/>
    <hyperlink ref="D1074" r:id="rId1073" display="http://www.nechristian.edu/" xr:uid="{00000000-0004-0000-0100-000030040000}"/>
    <hyperlink ref="D1075" r:id="rId1074" display="http://www.methodistcollege.edu/nurseover.html" xr:uid="{00000000-0004-0000-0100-000031040000}"/>
    <hyperlink ref="D1076" r:id="rId1075" display="http://www.nebrwesleyan.edu/" xr:uid="{00000000-0004-0000-0100-000032040000}"/>
    <hyperlink ref="D1077" r:id="rId1076" display="http://www.neumann.edu/" xr:uid="{00000000-0004-0000-0100-000033040000}"/>
    <hyperlink ref="D1078" r:id="rId1077" display="http://www.newberry.edu/" xr:uid="{00000000-0004-0000-0100-000034040000}"/>
    <hyperlink ref="D1079" r:id="rId1078" display="http://www.newcollege.edu/" xr:uid="{00000000-0004-0000-0100-000035040000}"/>
    <hyperlink ref="D1080" r:id="rId1079" display="http://www.ncf.edu/" xr:uid="{00000000-0004-0000-0100-000036040000}"/>
    <hyperlink ref="D1081" r:id="rId1080" display="http://www.nec.edu/" xr:uid="{00000000-0004-0000-0100-000037040000}"/>
    <hyperlink ref="D1082" r:id="rId1081" display="http://www.ne-optometry.edu/" xr:uid="{00000000-0004-0000-0100-000038040000}"/>
    <hyperlink ref="D1083" r:id="rId1082" display="http://www.newenglandconservatory.edu/" xr:uid="{00000000-0004-0000-0100-000039040000}"/>
    <hyperlink ref="D1084" r:id="rId1083" display="http://www.neit.edu/" xr:uid="{00000000-0004-0000-0100-00003A040000}"/>
    <hyperlink ref="D1085" r:id="rId1084" display="http://www.suffolk.edu/nesad/" xr:uid="{00000000-0004-0000-0100-00003B040000}"/>
    <hyperlink ref="D1086" r:id="rId1085" display="http://www.nescom.edu/" xr:uid="{00000000-0004-0000-0100-00003C040000}"/>
    <hyperlink ref="D1087" r:id="rId1086" display="http://www.nesl.edu/" xr:uid="{00000000-0004-0000-0100-00003D040000}"/>
    <hyperlink ref="D1088" r:id="rId1087" display="http://www.nhc.edu/" xr:uid="{00000000-0004-0000-0100-00003E040000}"/>
    <hyperlink ref="D1089" r:id="rId1088" display="http://www.njcu.edu/" xr:uid="{00000000-0004-0000-0100-00003F040000}"/>
    <hyperlink ref="D1090" r:id="rId1089" display="http://www.njit.edu/" xr:uid="{00000000-0004-0000-0100-000040040000}"/>
    <hyperlink ref="D1091" r:id="rId1090" display="http://www.ksnewman.edu/" xr:uid="{00000000-0004-0000-0100-000041040000}"/>
    <hyperlink ref="D1092" r:id="rId1091" display="http://www.nmhu.edu/" xr:uid="{00000000-0004-0000-0100-000042040000}"/>
    <hyperlink ref="D1093" r:id="rId1092" display="http://www.nmt.edu/" xr:uid="{00000000-0004-0000-0100-000043040000}"/>
    <hyperlink ref="D1094" r:id="rId1093" display="http://www.nmsu.edu/" xr:uid="{00000000-0004-0000-0100-000044040000}"/>
    <hyperlink ref="D1095" r:id="rId1094" display="http://www.newschoolarch.edu/" xr:uid="{00000000-0004-0000-0100-000045040000}"/>
    <hyperlink ref="E1096" r:id="rId1095" display="http://www.nyaa.edu/" xr:uid="{00000000-0004-0000-0100-000046040000}"/>
    <hyperlink ref="D1097" r:id="rId1096" display="http://www.nycc.edu/" xr:uid="{00000000-0004-0000-0100-000047040000}"/>
    <hyperlink ref="D1098" r:id="rId1097" display="http://www.nycpm.edu/" xr:uid="{00000000-0004-0000-0100-000048040000}"/>
    <hyperlink ref="D1099" r:id="rId1098" display="http://www.nyfa.edu/" xr:uid="{00000000-0004-0000-0100-000049040000}"/>
    <hyperlink ref="D1100" r:id="rId1099" display="http://www.nyit.edu/" xr:uid="{00000000-0004-0000-0100-00004A040000}"/>
    <hyperlink ref="D1101" r:id="rId1100" display="http://www.nyls.edu/" xr:uid="{00000000-0004-0000-0100-00004B040000}"/>
    <hyperlink ref="D1102" r:id="rId1101" display="http://www.nymc.edu/" xr:uid="{00000000-0004-0000-0100-00004C040000}"/>
    <hyperlink ref="D1103" r:id="rId1102" display="http://www.nysid.edu/" xr:uid="{00000000-0004-0000-0100-00004D040000}"/>
    <hyperlink ref="D1104" r:id="rId1103" display="http://www.nyu.edu/" xr:uid="{00000000-0004-0000-0100-00004E040000}"/>
    <hyperlink ref="D1105" r:id="rId1104" display="http://www.niagara.edu/" xr:uid="{00000000-0004-0000-0100-00004F040000}"/>
    <hyperlink ref="D1106" r:id="rId1105" display="http://www.nicholls.edu/" xr:uid="{00000000-0004-0000-0100-000050040000}"/>
    <hyperlink ref="D1107" r:id="rId1106" display="http://www.nichols.edu/" xr:uid="{00000000-0004-0000-0100-000051040000}"/>
    <hyperlink ref="D1108" r:id="rId1107" display="http://www.nsu.edu/" xr:uid="{00000000-0004-0000-0100-000052040000}"/>
    <hyperlink ref="D1109" r:id="rId1108" display="http://www.ncat.edu/" xr:uid="{00000000-0004-0000-0100-000053040000}"/>
    <hyperlink ref="D1110" r:id="rId1109" display="http://www.nccu.edu/" xr:uid="{00000000-0004-0000-0100-000054040000}"/>
    <hyperlink ref="D1111" r:id="rId1110" display="http://www.ncarts.edu/" xr:uid="{00000000-0004-0000-0100-000055040000}"/>
    <hyperlink ref="D1112" r:id="rId1111" display="http://www.ncsu.edu/" xr:uid="{00000000-0004-0000-0100-000056040000}"/>
    <hyperlink ref="D1113" r:id="rId1112" display="http://www.ncwc.edu/" xr:uid="{00000000-0004-0000-0100-000057040000}"/>
    <hyperlink ref="D1114" r:id="rId1113" display="http://www.ncbc.edu/" xr:uid="{00000000-0004-0000-0100-000058040000}"/>
    <hyperlink ref="D1115" r:id="rId1114" display="http://www.noctrl.edu/" xr:uid="{00000000-0004-0000-0100-000059040000}"/>
    <hyperlink ref="D1116" r:id="rId1115" display="http://www.ncu.edu/" xr:uid="{00000000-0004-0000-0100-00005A040000}"/>
    <hyperlink ref="D1117" r:id="rId1116" display="http://www.ndsu.nodak.edu/" xr:uid="{00000000-0004-0000-0100-00005B040000}"/>
    <hyperlink ref="D1118" r:id="rId1117" display="http://www.neiu.edu/" xr:uid="{00000000-0004-0000-0100-00005C040000}"/>
    <hyperlink ref="D1119" r:id="rId1118" display="http://www.neoucom.edu/" xr:uid="{00000000-0004-0000-0100-00005D040000}"/>
    <hyperlink ref="D1120" r:id="rId1119" display="http://www.nsuok.edu/" xr:uid="{00000000-0004-0000-0100-00005E040000}"/>
    <hyperlink ref="D1121" r:id="rId1120" display="http://www.neu.edu/" xr:uid="{00000000-0004-0000-0100-00005F040000}"/>
    <hyperlink ref="D1122" r:id="rId1121" display="http://www.nau.edu/" xr:uid="{00000000-0004-0000-0100-000060040000}"/>
    <hyperlink ref="D1123" r:id="rId1122" display="http://www.niu.edu/" xr:uid="{00000000-0004-0000-0100-000061040000}"/>
    <hyperlink ref="D1124" r:id="rId1123" display="http://www.nku.edu/" xr:uid="{00000000-0004-0000-0100-000062040000}"/>
    <hyperlink ref="D1125" r:id="rId1124" display="http://www.nmu.edu/" xr:uid="{00000000-0004-0000-0100-000063040000}"/>
    <hyperlink ref="D1126" r:id="rId1125" display="http://www.northern.edu/" xr:uid="{00000000-0004-0000-0100-000064040000}"/>
    <hyperlink ref="D1127" r:id="rId1126" display="http://www.nv.cc.va.us/" xr:uid="{00000000-0004-0000-0100-000065040000}"/>
    <hyperlink ref="D1128" r:id="rId1127" display="http://www.northface.edu/" xr:uid="{00000000-0004-0000-0100-000066040000}"/>
    <hyperlink ref="D1129" r:id="rId1128" display="http://www.ngc.peachnet.edu/" xr:uid="{00000000-0004-0000-0100-000067040000}"/>
    <hyperlink ref="D1130" r:id="rId1129" display="http://www.ngc.edu/" xr:uid="{00000000-0004-0000-0100-000068040000}"/>
    <hyperlink ref="D1131" r:id="rId1130" display="http://www.northland.edu/" xr:uid="{00000000-0004-0000-0100-000069040000}"/>
    <hyperlink ref="D1132" r:id="rId1131" display="http://www.northpark.edu/" xr:uid="{00000000-0004-0000-0100-00006A040000}"/>
    <hyperlink ref="D1133" r:id="rId1132" display="http://www.nwcc.edu/" xr:uid="{00000000-0004-0000-0100-00006B040000}"/>
    <hyperlink ref="D1134" r:id="rId1133" display="http://www.nca.edu/" xr:uid="{00000000-0004-0000-0100-00006C040000}"/>
    <hyperlink ref="D1135" r:id="rId1134" display="http://www.nwciowa.edu/" xr:uid="{00000000-0004-0000-0100-00006D040000}"/>
    <hyperlink ref="D1136" r:id="rId1135" display="http://www.nwchiro.edu/" xr:uid="{00000000-0004-0000-0100-00006E040000}"/>
    <hyperlink ref="D1137" r:id="rId1136" display="http://www.nwc.edu/" xr:uid="{00000000-0004-0000-0100-00006F040000}"/>
    <hyperlink ref="D1138" r:id="rId1137" display="http://www.nwalva.edu/" xr:uid="{00000000-0004-0000-0100-000070040000}"/>
    <hyperlink ref="D1139" r:id="rId1138" display="http://www.nsula.edu/" xr:uid="{00000000-0004-0000-0100-000071040000}"/>
    <hyperlink ref="D1140" r:id="rId1139" display="http://www.nwu.edu/" xr:uid="{00000000-0004-0000-0100-000072040000}"/>
    <hyperlink ref="D1141" r:id="rId1140" display="http://www.nwmissouri.edu/" xr:uid="{00000000-0004-0000-0100-000073040000}"/>
    <hyperlink ref="D1142" r:id="rId1141" display="http://www.nnu.edu/" xr:uid="{00000000-0004-0000-0100-000074040000}"/>
    <hyperlink ref="D1143" r:id="rId1142" display="http://www.northwestu.edu/" xr:uid="{00000000-0004-0000-0100-000075040000}"/>
    <hyperlink ref="D1144" r:id="rId1143" display="http://www.northwood.edu/" xr:uid="{00000000-0004-0000-0100-000076040000}"/>
    <hyperlink ref="E1145" r:id="rId1144" display="http://www.northwood.edu/campuses/florida/" xr:uid="{00000000-0004-0000-0100-000077040000}"/>
    <hyperlink ref="E1146" r:id="rId1145" display="http://www.northwood.edu/campuses/texas/" xr:uid="{00000000-0004-0000-0100-000078040000}"/>
    <hyperlink ref="D1147" r:id="rId1146" display="http://www.norwich.edu/" xr:uid="{00000000-0004-0000-0100-000079040000}"/>
    <hyperlink ref="D1148" r:id="rId1147" display="http://www.notredame.edu/" xr:uid="{00000000-0004-0000-0100-00007A040000}"/>
    <hyperlink ref="D1149" r:id="rId1148" display="http://www.ndc.edu/" xr:uid="{00000000-0004-0000-0100-00007B040000}"/>
    <hyperlink ref="D1150" r:id="rId1149" display="http://www.ndnu.edu/" xr:uid="{00000000-0004-0000-0100-00007C040000}"/>
    <hyperlink ref="D1151" r:id="rId1150" display="http://www.nova.edu/" xr:uid="{00000000-0004-0000-0100-00007D040000}"/>
    <hyperlink ref="D1152" r:id="rId1151" display="http://www.nyackcollege.edu/" xr:uid="{00000000-0004-0000-0100-00007E040000}"/>
    <hyperlink ref="D1153" r:id="rId1152" display="http://www.oak.edu/" xr:uid="{00000000-0004-0000-0100-00007F040000}"/>
    <hyperlink ref="D1154" r:id="rId1153" display="http://www.oakland.edu/" xr:uid="{00000000-0004-0000-0100-000080040000}"/>
    <hyperlink ref="D1155" r:id="rId1154" display="http://www.oakton.edu/" xr:uid="{00000000-0004-0000-0100-000081040000}"/>
    <hyperlink ref="D1156" r:id="rId1155" display="http://www.oakwood.edu/" xr:uid="{00000000-0004-0000-0100-000082040000}"/>
    <hyperlink ref="D1157" r:id="rId1156" display="http://www.oberlin.edu/" xr:uid="{00000000-0004-0000-0100-000083040000}"/>
    <hyperlink ref="D1158" r:id="rId1157" display="http://www.oxy.edu/" xr:uid="{00000000-0004-0000-0100-000084040000}"/>
    <hyperlink ref="D1159" r:id="rId1158" display="http://www.olc.edu/" xr:uid="{00000000-0004-0000-0100-000085040000}"/>
    <hyperlink ref="D1160" r:id="rId1159" display="http://www.oglethorpe.edu/" xr:uid="{00000000-0004-0000-0100-000086040000}"/>
    <hyperlink ref="D1161" r:id="rId1160" display="http://www.ocpm.edu/" xr:uid="{00000000-0004-0000-0100-000087040000}"/>
    <hyperlink ref="D1162" r:id="rId1161" display="http://www.odc.edu/" xr:uid="{00000000-0004-0000-0100-000088040000}"/>
    <hyperlink ref="D1163" r:id="rId1162" display="http://www.onu.edu/" xr:uid="{00000000-0004-0000-0100-000089040000}"/>
    <hyperlink ref="D1164" r:id="rId1163" display="http://www.ohio-state.edu/" xr:uid="{00000000-0004-0000-0100-00008A040000}"/>
    <hyperlink ref="D1165" r:id="rId1164" display="http://www.lima.ohio-state.edu/" xr:uid="{00000000-0004-0000-0100-00008B040000}"/>
    <hyperlink ref="D1166" r:id="rId1165" display="http://www.mansfield.ohio-state.edu/" xr:uid="{00000000-0004-0000-0100-00008C040000}"/>
    <hyperlink ref="D1167" r:id="rId1166" display="http://www.marion.ohio-state.edu/" xr:uid="{00000000-0004-0000-0100-00008D040000}"/>
    <hyperlink ref="D1168" r:id="rId1167" display="http://www.newark.ohio-state.edu/" xr:uid="{00000000-0004-0000-0100-00008E040000}"/>
    <hyperlink ref="D1169" r:id="rId1168" display="http://www.ohiou.edu/" xr:uid="{00000000-0004-0000-0100-00008F040000}"/>
    <hyperlink ref="D1170" r:id="rId1169" display="http://www.ohiou.edu/chillicothe/" xr:uid="{00000000-0004-0000-0100-000090040000}"/>
    <hyperlink ref="D1171" r:id="rId1170" display="http://www.eastern.ohiou.edu/" xr:uid="{00000000-0004-0000-0100-000091040000}"/>
    <hyperlink ref="D1172" r:id="rId1171" display="http://www.lancaster.ohiou.edu/" xr:uid="{00000000-0004-0000-0100-000092040000}"/>
    <hyperlink ref="D1173" r:id="rId1172" display="http://www.ohiou.edu/southern/" xr:uid="{00000000-0004-0000-0100-000093040000}"/>
    <hyperlink ref="D1174" r:id="rId1173" display="http://www.zanesville.ohiou.edu/" xr:uid="{00000000-0004-0000-0100-000094040000}"/>
    <hyperlink ref="D1175" r:id="rId1174" display="http://www.ovc.edu/" xr:uid="{00000000-0004-0000-0100-000095040000}"/>
    <hyperlink ref="D1176" r:id="rId1175" display="http://www.owu.edu/" xr:uid="{00000000-0004-0000-0100-000096040000}"/>
    <hyperlink ref="D1177" r:id="rId1176" display="http://www.okbu.edu/" xr:uid="{00000000-0004-0000-0100-000097040000}"/>
    <hyperlink ref="D1178" r:id="rId1177" display="http://www.oc.edu/" xr:uid="{00000000-0004-0000-0100-000098040000}"/>
    <hyperlink ref="D1179" r:id="rId1178" display="http://www.okcu.edu/" xr:uid="{00000000-0004-0000-0100-000099040000}"/>
    <hyperlink ref="D1180" r:id="rId1179" display="http://www.opsu.edu/" xr:uid="{00000000-0004-0000-0100-00009A040000}"/>
    <hyperlink ref="D1181" r:id="rId1180" display="http://www.okstate.edu/" xr:uid="{00000000-0004-0000-0100-00009B040000}"/>
    <hyperlink ref="D1182" r:id="rId1181" display="http://osu.com.okstate.edu/" xr:uid="{00000000-0004-0000-0100-00009C040000}"/>
    <hyperlink ref="D1183" r:id="rId1182" display="http://www.osuit.edu/" xr:uid="{00000000-0004-0000-0100-00009D040000}"/>
    <hyperlink ref="D1184" r:id="rId1183" display="http://www.osuokc.edu/" xr:uid="{00000000-0004-0000-0100-00009E040000}"/>
    <hyperlink ref="D1185" r:id="rId1184" display="http://www.osu-tulsa.okstate.edu/" xr:uid="{00000000-0004-0000-0100-00009F040000}"/>
    <hyperlink ref="D1186" r:id="rId1185" display="http://www.odu.edu/" xr:uid="{00000000-0004-0000-0100-0000A0040000}"/>
    <hyperlink ref="D1187" r:id="rId1186" display="http://www.ccc.edu/oliveharvey/" xr:uid="{00000000-0004-0000-0100-0000A1040000}"/>
    <hyperlink ref="D1188" r:id="rId1187" display="http://www.olivetcollege.edu/" xr:uid="{00000000-0004-0000-0100-0000A2040000}"/>
    <hyperlink ref="D1189" r:id="rId1188" display="http://www.olivet.edu/" xr:uid="{00000000-0004-0000-0100-0000A3040000}"/>
    <hyperlink ref="D1190" r:id="rId1189" display="http://www.omorecollege.edu/" xr:uid="{00000000-0004-0000-0100-0000A4040000}"/>
    <hyperlink ref="D1191" r:id="rId1190" display="http://www.oru.edu/" xr:uid="{00000000-0004-0000-0100-0000A5040000}"/>
    <hyperlink ref="D1192" r:id="rId1191" display="http://www.ocac.edu/" xr:uid="{00000000-0004-0000-0100-0000A6040000}"/>
    <hyperlink ref="D1193" r:id="rId1192" display="http://www.ogi.edu/" xr:uid="{00000000-0004-0000-0100-0000A7040000}"/>
    <hyperlink ref="D1194" r:id="rId1193" display="http://www.ohsu.edu/" xr:uid="{00000000-0004-0000-0100-0000A8040000}"/>
    <hyperlink ref="D1195" r:id="rId1194" display="http://www.oit.edu/" xr:uid="{00000000-0004-0000-0100-0000A9040000}"/>
    <hyperlink ref="D1196" r:id="rId1195" display="http://www.orst.edu/" xr:uid="{00000000-0004-0000-0100-0000AA040000}"/>
    <hyperlink ref="D1197" r:id="rId1196" display="http://www.otisart.edu/" xr:uid="{00000000-0004-0000-0100-0000AB040000}"/>
    <hyperlink ref="D1198" r:id="rId1197" display="http://www.ottawa.edu/" xr:uid="{00000000-0004-0000-0100-0000AC040000}"/>
    <hyperlink ref="D1199" r:id="rId1198" display="http://www.otterbein.edu/" xr:uid="{00000000-0004-0000-0100-0000AD040000}"/>
    <hyperlink ref="D1200" r:id="rId1199" display="http://www.obu.edu/" xr:uid="{00000000-0004-0000-0100-0000AE040000}"/>
    <hyperlink ref="D1201" r:id="rId1200" display="http://www.olhcc.edu/" xr:uid="{00000000-0004-0000-0100-0000AF040000}"/>
    <hyperlink ref="D1202" r:id="rId1201" display="http://www.ollusa.edu/" xr:uid="{00000000-0004-0000-0100-0000B0040000}"/>
    <hyperlink ref="D1203" r:id="rId1202" display="http://www.occ.edu/" xr:uid="{00000000-0004-0000-0100-0000B1040000}"/>
    <hyperlink ref="D1204" r:id="rId1203" display="http://www.pace.edu/" xr:uid="{00000000-0004-0000-0100-0000B2040000}"/>
    <hyperlink ref="D1205" r:id="rId1204" display="http://www.pace.edu/campus/pville.html" xr:uid="{00000000-0004-0000-0100-0000B3040000}"/>
    <hyperlink ref="D1206" r:id="rId1205" display="http://www.pacifica.edu/" xr:uid="{00000000-0004-0000-0100-0000B4040000}"/>
    <hyperlink ref="D1207" r:id="rId1206" display="http://www.ormed.edu/" xr:uid="{00000000-0004-0000-0100-0000B5040000}"/>
    <hyperlink ref="D1208" r:id="rId1207" display="http://www.pgsp.edu/" xr:uid="{00000000-0004-0000-0100-0000B6040000}"/>
    <hyperlink ref="D1209" r:id="rId1208" display="http://www.plu.edu/" xr:uid="{00000000-0004-0000-0100-0000B7040000}"/>
    <hyperlink ref="D1210" r:id="rId1209" display="http://www.pnca.edu/" xr:uid="{00000000-0004-0000-0100-0000B8040000}"/>
    <hyperlink ref="D1211" r:id="rId1210" display="http://www.pacificoaks.edu/" xr:uid="{00000000-0004-0000-0100-0000B9040000}"/>
    <hyperlink ref="D1212" r:id="rId1211" display="http://www.puc.edu/" xr:uid="{00000000-0004-0000-0100-0000BA040000}"/>
    <hyperlink ref="D1213" r:id="rId1212" display="http://www.pacificu.edu/" xr:uid="{00000000-0004-0000-0100-0000BB040000}"/>
    <hyperlink ref="D1214" r:id="rId1213" display="http://www.paierart.com/" xr:uid="{00000000-0004-0000-0100-0000BC040000}"/>
    <hyperlink ref="D1215" r:id="rId1214" display="http://www.paine.edu/" xr:uid="{00000000-0004-0000-0100-0000BD040000}"/>
    <hyperlink ref="D1216" r:id="rId1215" display="http://www.pba.edu/" xr:uid="{00000000-0004-0000-0100-0000BE040000}"/>
    <hyperlink ref="D1217" r:id="rId1216" display="http://www.palmbeachstate.edu/" xr:uid="{00000000-0004-0000-0100-0000BF040000}"/>
    <hyperlink ref="D1218" r:id="rId1217" display="http://www.palmer.edu/" xr:uid="{00000000-0004-0000-0100-0000C0040000}"/>
    <hyperlink ref="D1219" r:id="rId1218" display="http://www.palmer.edu/PCCW/pcwmain.htm" xr:uid="{00000000-0004-0000-0100-0000C1040000}"/>
    <hyperlink ref="D1220" r:id="rId1219" display="http://www.park.edu/" xr:uid="{00000000-0004-0000-0100-0000C2040000}"/>
    <hyperlink ref="D1221" r:id="rId1220" display="http://www.parsons.edu/" xr:uid="{00000000-0004-0000-0100-0000C3040000}"/>
    <hyperlink ref="D1222" r:id="rId1221" display="http://www.pqc.edu/" xr:uid="{00000000-0004-0000-0100-0000C4040000}"/>
    <hyperlink ref="D1223" r:id="rId1222" display="http://www.peace.edu/" xr:uid="{00000000-0004-0000-0100-0000C5040000}"/>
    <hyperlink ref="D1224" r:id="rId1223" display="http://www.pebblehills.edu/" xr:uid="{00000000-0004-0000-0100-0000C6040000}"/>
    <hyperlink ref="D1225" r:id="rId1224" display="http://www.pafa.org/" xr:uid="{00000000-0004-0000-0100-0000C7040000}"/>
    <hyperlink ref="D1226" r:id="rId1225" display="http://www.pco.edu/" xr:uid="{00000000-0004-0000-0100-0000C8040000}"/>
    <hyperlink ref="D1227" r:id="rId1226" display="http://www.pit.edu/" xr:uid="{00000000-0004-0000-0100-0000C9040000}"/>
    <hyperlink ref="D1228" r:id="rId1227" display="http://www.psu.edu/" xr:uid="{00000000-0004-0000-0100-0000CA040000}"/>
    <hyperlink ref="D1229" r:id="rId1228" display="http://www.abington.psu.edu/" xr:uid="{00000000-0004-0000-0100-0000CB040000}"/>
    <hyperlink ref="D1230" r:id="rId1229" display="http://www.aa.psu.edu/" xr:uid="{00000000-0004-0000-0100-0000CC040000}"/>
    <hyperlink ref="D1231" r:id="rId1230" display="http://www.pserie.psu.edu/" xr:uid="{00000000-0004-0000-0100-0000CD040000}"/>
    <hyperlink ref="D1232" r:id="rId1231" display="http://www.hbg.psu.edu/" xr:uid="{00000000-0004-0000-0100-0000CE040000}"/>
    <hyperlink ref="D1233" r:id="rId1232" display="http://www.bk.psu.edu/" xr:uid="{00000000-0004-0000-0100-0000CF040000}"/>
    <hyperlink ref="D1234" r:id="rId1233" display="http://www.de.psu.edu/" xr:uid="{00000000-0004-0000-0100-0000D0040000}"/>
    <hyperlink ref="D1235" r:id="rId1234" display="http://www.gv.psu.edu/" xr:uid="{00000000-0004-0000-0100-0000D1040000}"/>
    <hyperlink ref="D1236" r:id="rId1235" display="http://www.an.psu.edu/" xr:uid="{00000000-0004-0000-0100-0000D2040000}"/>
    <hyperlink ref="D1237" r:id="rId1236" display="http://www.collmed.psu.edu/" xr:uid="{00000000-0004-0000-0100-0000D3040000}"/>
    <hyperlink ref="D1238" r:id="rId1237" display="http://www.sl.psu.edu/" xr:uid="{00000000-0004-0000-0100-0000D4040000}"/>
    <hyperlink ref="D1239" r:id="rId1238" display="http://www.pepperdine.edu/" xr:uid="{00000000-0004-0000-0100-0000D5040000}"/>
    <hyperlink ref="D1240" r:id="rId1239" display="http://www.peru.edu/" xr:uid="{00000000-0004-0000-0100-0000D6040000}"/>
    <hyperlink ref="D1241" r:id="rId1240" display="http://www.pfeiffer.edu/" xr:uid="{00000000-0004-0000-0100-0000D7040000}"/>
    <hyperlink ref="D1242" r:id="rId1241" display="http://www.pcb.edu/" xr:uid="{00000000-0004-0000-0100-0000D8040000}"/>
    <hyperlink ref="D1243" r:id="rId1242" display="http://www.pcom.edu/" xr:uid="{00000000-0004-0000-0100-0000D9040000}"/>
    <hyperlink ref="D1244" r:id="rId1243" display="http://www.philau.edu/" xr:uid="{00000000-0004-0000-0100-0000DA040000}"/>
    <hyperlink ref="D1245" r:id="rId1244" display="http://www.philander.edu/" xr:uid="{00000000-0004-0000-0100-0000DB040000}"/>
    <hyperlink ref="D1246" r:id="rId1245" display="http://www.pgi.edu/" xr:uid="{00000000-0004-0000-0100-0000DC040000}"/>
    <hyperlink ref="D1247" r:id="rId1246" display="http://www.phillips.edu/" xr:uid="{00000000-0004-0000-0100-0000DD040000}"/>
    <hyperlink ref="D1248" r:id="rId1247" display="http://www.pbc.edu/" xr:uid="{00000000-0004-0000-0100-0000DE040000}"/>
    <hyperlink ref="D1249" r:id="rId1248" display="http://www.piedmont.edu/" xr:uid="{00000000-0004-0000-0100-0000DF040000}"/>
    <hyperlink ref="D1250" r:id="rId1249" display="http://www.pc.edu/" xr:uid="{00000000-0004-0000-0100-0000E0040000}"/>
    <hyperlink ref="D1251" r:id="rId1250" display="http://www.pillsbury.edu/" xr:uid="{00000000-0004-0000-0100-0000E1040000}"/>
    <hyperlink ref="D1252" r:id="rId1251" display="http://www.pittstate.edu/" xr:uid="{00000000-0004-0000-0100-0000E2040000}"/>
    <hyperlink ref="D1253" r:id="rId1252" display="http://www.pitzer.edu/" xr:uid="{00000000-0004-0000-0100-0000E3040000}"/>
    <hyperlink ref="D1254" r:id="rId1253" display="http://www.plymouth.edu/" xr:uid="{00000000-0004-0000-0100-0000E4040000}"/>
    <hyperlink ref="D1255" r:id="rId1254" display="http://www.ptloma.edu/" xr:uid="{00000000-0004-0000-0100-0000E5040000}"/>
    <hyperlink ref="D1256" r:id="rId1255" display="http://www.ppc.edu/" xr:uid="{00000000-0004-0000-0100-0000E6040000}"/>
    <hyperlink ref="D1257" r:id="rId1256" display="http://www.poly.edu/" xr:uid="{00000000-0004-0000-0100-0000E7040000}"/>
    <hyperlink ref="E1258" r:id="rId1257" display="http://www.poly.edu/li/" xr:uid="{00000000-0004-0000-0100-0000E8040000}"/>
    <hyperlink ref="E1259" r:id="rId1258" display="http://www.poly.edu/west/" xr:uid="{00000000-0004-0000-0100-0000E9040000}"/>
    <hyperlink ref="D1260" r:id="rId1259" display="http://www.pomona.edu/" xr:uid="{00000000-0004-0000-0100-0000EA040000}"/>
    <hyperlink ref="D1261" r:id="rId1260" display="http://www.pcc.edu/" xr:uid="{00000000-0004-0000-0100-0000EB040000}"/>
    <hyperlink ref="D1262" r:id="rId1261" display="http://www.pdx.edu/" xr:uid="{00000000-0004-0000-0100-0000EC040000}"/>
    <hyperlink ref="D1263" r:id="rId1262" display="http://www.post.edu/" xr:uid="{00000000-0004-0000-0100-0000ED040000}"/>
    <hyperlink ref="D1264" r:id="rId1263" display="http://www.pvamu.edu/" xr:uid="{00000000-0004-0000-0100-0000EE040000}"/>
    <hyperlink ref="D1265" r:id="rId1264" display="http://www.pratt.edu/" xr:uid="{00000000-0004-0000-0100-0000EF040000}"/>
    <hyperlink ref="D1266" r:id="rId1265" display="http://www.presby.edu/" xr:uid="{00000000-0004-0000-0100-0000F0040000}"/>
    <hyperlink ref="D1267" r:id="rId1266" display="http://www.prescott.edu/" xr:uid="{00000000-0004-0000-0100-0000F1040000}"/>
    <hyperlink ref="D1268" r:id="rId1267" display="http://www.preston.edu/" xr:uid="{00000000-0004-0000-0100-0000F2040000}"/>
    <hyperlink ref="D1269" r:id="rId1268" display="http://www.princeton.edu/" xr:uid="{00000000-0004-0000-0100-0000F3040000}"/>
    <hyperlink ref="D1270" r:id="rId1269" display="http://www.prin.edu/" xr:uid="{00000000-0004-0000-0100-0000F4040000}"/>
    <hyperlink ref="D1271" r:id="rId1270" display="http://www.providence.edu/" xr:uid="{00000000-0004-0000-0100-0000F5040000}"/>
    <hyperlink ref="D1272" r:id="rId1271" display="http://members.aa.net/~bluvase/pscchome.html" xr:uid="{00000000-0004-0000-0100-0000F6040000}"/>
    <hyperlink ref="D1273" r:id="rId1272" display="http://www.purdue.edu/" xr:uid="{00000000-0004-0000-0100-0000F7040000}"/>
    <hyperlink ref="D1274" r:id="rId1273" display="http://www.calumet.purdue.edu/" xr:uid="{00000000-0004-0000-0100-0000F8040000}"/>
    <hyperlink ref="D1275" r:id="rId1274" display="http://www.pnc.edu/" xr:uid="{00000000-0004-0000-0100-0000F9040000}"/>
    <hyperlink ref="D1276" r:id="rId1275" display="http://www.qvius.edu/" xr:uid="{00000000-0004-0000-0100-0000FA040000}"/>
    <hyperlink ref="D1277" r:id="rId1276" display="http://www.queens.edu/" xr:uid="{00000000-0004-0000-0100-0000FB040000}"/>
    <hyperlink ref="D1278" r:id="rId1277" display="http://www.quincy.edu/" xr:uid="{00000000-0004-0000-0100-0000FC040000}"/>
    <hyperlink ref="D1279" r:id="rId1278" display="http://www.quinnipiac.edu/" xr:uid="{00000000-0004-0000-0100-0000FD040000}"/>
    <hyperlink ref="D1280" r:id="rId1279" display="http://www.runet.edu/" xr:uid="{00000000-0004-0000-0100-0000FE040000}"/>
    <hyperlink ref="D1281" r:id="rId1280" display="http://www.ramapo.edu/" xr:uid="{00000000-0004-0000-0100-0000FF040000}"/>
    <hyperlink ref="D1282" r:id="rId1281" display="http://www.rgs.edu/" xr:uid="{00000000-0004-0000-0100-000000050000}"/>
    <hyperlink ref="D1283" r:id="rId1282" display="http://www.rmc.edu/" xr:uid="{00000000-0004-0000-0100-000001050000}"/>
    <hyperlink ref="D1284" r:id="rId1283" display="http://www.rmwc.edu/" xr:uid="{00000000-0004-0000-0100-000002050000}"/>
    <hyperlink ref="D1285" r:id="rId1284" display="http://www.rasmussen.edu/" xr:uid="{00000000-0004-0000-0100-000003050000}"/>
    <hyperlink ref="E1286" r:id="rId1285" display="http://www.rasmussen.edu/locations/florida/" xr:uid="{00000000-0004-0000-0100-000004050000}"/>
    <hyperlink ref="E1287" r:id="rId1286" display="http://www.rasmussen.edu/locations/illinois/" xr:uid="{00000000-0004-0000-0100-000005050000}"/>
    <hyperlink ref="E1288" r:id="rId1287" display="http://www.rasmussen.edu/locations/minnesota/" xr:uid="{00000000-0004-0000-0100-000006050000}"/>
    <hyperlink ref="E1289" r:id="rId1288" display="http://www.rasmussen.edu/locations/north-dakota/" xr:uid="{00000000-0004-0000-0100-000007050000}"/>
    <hyperlink ref="E1290" r:id="rId1289" display="http://www.rasmussen.edu/locations/wisconsin/" xr:uid="{00000000-0004-0000-0100-000008050000}"/>
    <hyperlink ref="D1291" r:id="rId1290" display="http://www.reed.edu/" xr:uid="{00000000-0004-0000-0100-000009050000}"/>
    <hyperlink ref="D1292" r:id="rId1291" display="http://www.reformed.edu/" xr:uid="{00000000-0004-0000-0100-00000A050000}"/>
    <hyperlink ref="D1293" r:id="rId1292" display="http://www.regentinternational.net/" xr:uid="{00000000-0004-0000-0100-00000B050000}"/>
    <hyperlink ref="D1294" r:id="rId1293" display="http://www.regent.edu/" xr:uid="{00000000-0004-0000-0100-00000C050000}"/>
    <hyperlink ref="D1295" r:id="rId1294" display="http://www.regiscollege.edu/" xr:uid="{00000000-0004-0000-0100-00000D050000}"/>
    <hyperlink ref="D1296" r:id="rId1295" display="http://www.regis.edu/" xr:uid="{00000000-0004-0000-0100-00000E050000}"/>
    <hyperlink ref="D1297" r:id="rId1296" display="http://www.reinhardt.edu/" xr:uid="{00000000-0004-0000-0100-00000F050000}"/>
    <hyperlink ref="D1298" r:id="rId1297" display="http://www.rpi.edu/" xr:uid="{00000000-0004-0000-0100-000010050000}"/>
    <hyperlink ref="D1299" r:id="rId1298" display="http://www.rockhurst.edu/3.0/academic_programs/nursing/admis3.html" xr:uid="{00000000-0004-0000-0100-000011050000}"/>
    <hyperlink ref="D1300" r:id="rId1299" display="http://www.ric.edu/" xr:uid="{00000000-0004-0000-0100-000012050000}"/>
    <hyperlink ref="D1301" r:id="rId1300" display="http://www.risd.edu/" xr:uid="{00000000-0004-0000-0100-000013050000}"/>
    <hyperlink ref="D1302" r:id="rId1301" display="http://www.rhodes.edu/" xr:uid="{00000000-0004-0000-0100-000014050000}"/>
    <hyperlink ref="D1303" r:id="rId1302" display="http://www.rice.edu/" xr:uid="{00000000-0004-0000-0100-000015050000}"/>
    <hyperlink ref="D1304" r:id="rId1303" display="http://www.stockton.edu/" xr:uid="{00000000-0004-0000-0100-000016050000}"/>
    <hyperlink ref="D1305" r:id="rId1304" display="http://www.rider.edu/" xr:uid="{00000000-0004-0000-0100-000017050000}"/>
    <hyperlink ref="D1306" r:id="rId1305" display="http://www.ringling.edu/" xr:uid="{00000000-0004-0000-0100-000018050000}"/>
    <hyperlink ref="D1307" r:id="rId1306" display="http://www.ripon.edu/" xr:uid="{00000000-0004-0000-0100-000019050000}"/>
    <hyperlink ref="D1308" r:id="rId1307" display="http://www.rivier.edu/" xr:uid="{00000000-0004-0000-0100-00001A050000}"/>
    <hyperlink ref="D1309" r:id="rId1308" display="http://www.roanokebible.edu/" xr:uid="{00000000-0004-0000-0100-00001B050000}"/>
    <hyperlink ref="D1310" r:id="rId1309" display="http://www.roanoke.edu/" xr:uid="{00000000-0004-0000-0100-00001C050000}"/>
    <hyperlink ref="D1311" r:id="rId1310" display="http://www.robert-morris.edu/" xr:uid="{00000000-0004-0000-0100-00001D050000}"/>
    <hyperlink ref="D1312" r:id="rId1311" display="http://www.rmcil.edu/" xr:uid="{00000000-0004-0000-0100-00001E050000}"/>
    <hyperlink ref="D1313" r:id="rId1312" display="http://www.rwc.edu/" xr:uid="{00000000-0004-0000-0100-00001F050000}"/>
    <hyperlink ref="D1314" r:id="rId1313" display="http://www.rc.edu/" xr:uid="{00000000-0004-0000-0100-000020050000}"/>
    <hyperlink ref="D1315" r:id="rId1314" display="http://www.rit.edu/" xr:uid="{00000000-0004-0000-0100-000021050000}"/>
    <hyperlink ref="D1316" r:id="rId1315" display="http://www.rockford.edu/" xr:uid="{00000000-0004-0000-0100-000022050000}"/>
    <hyperlink ref="D1317" r:id="rId1316" display="http://www.rockhurst.edu/" xr:uid="{00000000-0004-0000-0100-000023050000}"/>
    <hyperlink ref="D1318" r:id="rId1317" display="http://www.rvc.cc.il.us/" xr:uid="{00000000-0004-0000-0100-000024050000}"/>
    <hyperlink ref="D1319" r:id="rId1318" display="http://www.rocky.edu/" xr:uid="{00000000-0004-0000-0100-000025050000}"/>
    <hyperlink ref="D1320" r:id="rId1319" display="http://www.rmcad.edu/" xr:uid="{00000000-0004-0000-0100-000026050000}"/>
    <hyperlink ref="D1321" r:id="rId1320" display="http://www.rsu.edu/" xr:uid="{00000000-0004-0000-0100-000027050000}"/>
    <hyperlink ref="D1322" r:id="rId1321" display="http://www.rwu.edu/" xr:uid="{00000000-0004-0000-0100-000028050000}"/>
    <hyperlink ref="D1323" r:id="rId1322" display="http://www.rollins.edu/" xr:uid="{00000000-0004-0000-0100-000029050000}"/>
    <hyperlink ref="D1324" r:id="rId1323" display="http://www.roosevelt.edu/" xr:uid="{00000000-0004-0000-0100-00002A050000}"/>
    <hyperlink ref="D1325" r:id="rId1324" display="http://www.rose-hulman.edu/" xr:uid="{00000000-0004-0000-0100-00002B050000}"/>
    <hyperlink ref="D1326" r:id="rId1325" display="http://www.rosemont.edu/" xr:uid="{00000000-0004-0000-0100-00002C050000}"/>
    <hyperlink ref="E1327" r:id="rId1326" display="http://www.rossmed.edu/" xr:uid="{00000000-0004-0000-0100-00002D050000}"/>
    <hyperlink ref="D1328" r:id="rId1327" display="http://www.rowan.edu/" xr:uid="{00000000-0004-0000-0100-00002E050000}"/>
    <hyperlink ref="D1329" r:id="rId1328" display="http://www.rushu.rush.edu/" xr:uid="{00000000-0004-0000-0100-00002F050000}"/>
    <hyperlink ref="D1330" r:id="rId1329" display="http://www.sage.edu/RSC/" xr:uid="{00000000-0004-0000-0100-000030050000}"/>
    <hyperlink ref="D1331" r:id="rId1330" display="http://www.rustcollege.edu/" xr:uid="{00000000-0004-0000-0100-000031050000}"/>
    <hyperlink ref="E1332" r:id="rId1331" display="http://www.rutgers.edu/" xr:uid="{00000000-0004-0000-0100-000032050000}"/>
    <hyperlink ref="E1333" r:id="rId1332" display="http://camden-www.rutgers.edu/" xr:uid="{00000000-0004-0000-0100-000033050000}"/>
    <hyperlink ref="E1334" r:id="rId1333" display="http://rutgers-newark.rutgers.edu/" xr:uid="{00000000-0004-0000-0100-000034050000}"/>
    <hyperlink ref="D1335" r:id="rId1334" display="http://www.sacredheart.edu/" xr:uid="{00000000-0004-0000-0100-000035050000}"/>
    <hyperlink ref="D1336" r:id="rId1335" display="http://www.sage.edu/SGS/" xr:uid="{00000000-0004-0000-0100-000036050000}"/>
    <hyperlink ref="D1337" r:id="rId1336" display="http://www.svsu.edu/" xr:uid="{00000000-0004-0000-0100-000037050000}"/>
    <hyperlink ref="D1338" r:id="rId1337" display="http://www.salem.edu/" xr:uid="{00000000-0004-0000-0100-000038050000}"/>
    <hyperlink ref="D1339" r:id="rId1338" display="http://www.salemiu.edu/" xr:uid="{00000000-0004-0000-0100-000039050000}"/>
    <hyperlink ref="D1340" r:id="rId1339" display="http://www.salem.mass.edu/" xr:uid="{00000000-0004-0000-0100-00003A050000}"/>
    <hyperlink ref="D1341" r:id="rId1340" display="http://www.salem-teikyo.wvnet.edu/" xr:uid="{00000000-0004-0000-0100-00003B050000}"/>
    <hyperlink ref="D1342" r:id="rId1341" display="http://www.ssu.edu/" xr:uid="{00000000-0004-0000-0100-00003C050000}"/>
    <hyperlink ref="D1343" r:id="rId1342" display="http://www.salve.edu/" xr:uid="{00000000-0004-0000-0100-00003D050000}"/>
    <hyperlink ref="D1344" r:id="rId1343" display="http://www.samford.edu/" xr:uid="{00000000-0004-0000-0100-00003E050000}"/>
    <hyperlink ref="D1345" r:id="rId1344" display="http://www.shsu.edu/" xr:uid="{00000000-0004-0000-0100-00003F050000}"/>
    <hyperlink ref="D1346" r:id="rId1345" display="http://www.samuelmerritt.edu/" xr:uid="{00000000-0004-0000-0100-000040050000}"/>
    <hyperlink ref="D1347" r:id="rId1346" display="http://www.sdsu.edu/" xr:uid="{00000000-0004-0000-0100-000041050000}"/>
    <hyperlink ref="D1348" r:id="rId1347" display="http://www.sduis.edu/" xr:uid="{00000000-0004-0000-0100-000042050000}"/>
    <hyperlink ref="D1349" r:id="rId1348" display="http://www.sbjacksonville.com/" xr:uid="{00000000-0004-0000-0100-000043050000}"/>
    <hyperlink ref="D1350" r:id="rId1349" display="http://www.sfai.edu/" xr:uid="{00000000-0004-0000-0100-000044050000}"/>
    <hyperlink ref="D1351" r:id="rId1350" display="http://www.sfcm.edu/" xr:uid="{00000000-0004-0000-0100-000045050000}"/>
    <hyperlink ref="D1352" r:id="rId1351" display="http://www.sfsu.edu/" xr:uid="{00000000-0004-0000-0100-000046050000}"/>
    <hyperlink ref="D1353" r:id="rId1352" display="http://www.sjcl.org/" xr:uid="{00000000-0004-0000-0100-000047050000}"/>
    <hyperlink ref="D1354" r:id="rId1353" display="http://www.sjchristiancol.edu/" xr:uid="{00000000-0004-0000-0100-000048050000}"/>
    <hyperlink ref="D1355" r:id="rId1354" display="http://www.sjsu.edu/" xr:uid="{00000000-0004-0000-0100-000049050000}"/>
    <hyperlink ref="D1356" r:id="rId1355" display="http://www.scu.edu/" xr:uid="{00000000-0004-0000-0100-00004A050000}"/>
    <hyperlink ref="D1357" r:id="rId1356" display="http://www.slc.edu/" xr:uid="{00000000-0004-0000-0100-00004B050000}"/>
    <hyperlink ref="D1358" r:id="rId1357" display="http://www.scad.edu/" xr:uid="{00000000-0004-0000-0100-00004C050000}"/>
    <hyperlink ref="D1359" r:id="rId1358" display="http://www.savstate.edu/" xr:uid="{00000000-0004-0000-0100-00004D050000}"/>
    <hyperlink ref="D1360" r:id="rId1359" display="http://www.saybrook.org/" xr:uid="{00000000-0004-0000-0100-00004E050000}"/>
    <hyperlink ref="D1361" r:id="rId1360" display="http://www.schiller.edu/" xr:uid="{00000000-0004-0000-0100-00004F050000}"/>
    <hyperlink ref="D1362" r:id="rId1361" display="http://www.scholl.edu/" xr:uid="{00000000-0004-0000-0100-000050050000}"/>
    <hyperlink ref="D1363" r:id="rId1362" display="http://www.sit.edu/" xr:uid="{00000000-0004-0000-0100-000051050000}"/>
    <hyperlink ref="D1364" r:id="rId1363" display="http://www.smfa.edu/" xr:uid="{00000000-0004-0000-0100-000052050000}"/>
    <hyperlink ref="D1365" r:id="rId1364" display="http://www.schoolofvisualarts.edu/" xr:uid="{00000000-0004-0000-0100-000053050000}"/>
    <hyperlink ref="D1366" r:id="rId1365" display="http://www.schreiner.edu/" xr:uid="{00000000-0004-0000-0100-000054050000}"/>
    <hyperlink ref="D1367" r:id="rId1366" display="http://www.scrippscol.edu/" xr:uid="{00000000-0004-0000-0100-000055050000}"/>
    <hyperlink ref="D1368" r:id="rId1367" display="http://www.spu.edu/" xr:uid="{00000000-0004-0000-0100-000056050000}"/>
    <hyperlink ref="D1369" r:id="rId1368" display="http://www.seattleu.edu/" xr:uid="{00000000-0004-0000-0100-000057050000}"/>
    <hyperlink ref="D1370" r:id="rId1369" display="http://www.shu.edu/" xr:uid="{00000000-0004-0000-0100-000058050000}"/>
    <hyperlink ref="D1371" r:id="rId1370" display="http://www.setonhill.edu/" xr:uid="{00000000-0004-0000-0100-000059050000}"/>
    <hyperlink ref="D1372" r:id="rId1371" display="http://www.shawnee.cc.il.us/" xr:uid="{00000000-0004-0000-0100-00005A050000}"/>
    <hyperlink ref="D1373" r:id="rId1372" display="http://www.shawnee.edu/" xr:uid="{00000000-0004-0000-0100-00005B050000}"/>
    <hyperlink ref="D1374" r:id="rId1373" display="http://www.shawuniversity.edu/" xr:uid="{00000000-0004-0000-0100-00005C050000}"/>
    <hyperlink ref="D1375" r:id="rId1374" display="http://www.sheldonjackson.edu/" xr:uid="{00000000-0004-0000-0100-00005D050000}"/>
    <hyperlink ref="D1376" r:id="rId1375" display="http://www.su.edu/" xr:uid="{00000000-0004-0000-0100-00005E050000}"/>
    <hyperlink ref="D1377" r:id="rId1376" display="http://www.shepherd.edu/" xr:uid="{00000000-0004-0000-0100-00005F050000}"/>
    <hyperlink ref="D1378" r:id="rId1377" display="http://www.sherman.edu/" xr:uid="{00000000-0004-0000-0100-000060050000}"/>
    <hyperlink ref="D1379" r:id="rId1378" display="http://www.shimer.edu/" xr:uid="{00000000-0004-0000-0100-000061050000}"/>
    <hyperlink ref="D1380" r:id="rId1379" display="http://www.ship.edu/" xr:uid="{00000000-0004-0000-0100-000062050000}"/>
    <hyperlink ref="D1381" r:id="rId1380" display="http://www.shoreline.edu/" xr:uid="{00000000-0004-0000-0100-000063050000}"/>
    <hyperlink ref="D1382" r:id="rId1381" display="http://www.shorter.edu/" xr:uid="{00000000-0004-0000-0100-000064050000}"/>
    <hyperlink ref="D1383" r:id="rId1382" display="http://www.siena.edu/" xr:uid="{00000000-0004-0000-0100-000065050000}"/>
    <hyperlink ref="D1384" r:id="rId1383" display="http://www.sienahts.edu/" xr:uid="{00000000-0004-0000-0100-000066050000}"/>
    <hyperlink ref="D1385" r:id="rId1384" display="http://www.sierranevada.edu/" xr:uid="{00000000-0004-0000-0100-000067050000}"/>
    <hyperlink ref="D1386" r:id="rId1385" display="http://www.sl.edu/" xr:uid="{00000000-0004-0000-0100-000068050000}"/>
    <hyperlink ref="D1387" r:id="rId1386" display="http://www.simmons.edu/" xr:uid="{00000000-0004-0000-0100-000069050000}"/>
    <hyperlink ref="D1388" r:id="rId1387" display="http://www.simons-rock.edu/" xr:uid="{00000000-0004-0000-0100-00006A050000}"/>
    <hyperlink ref="D1389" r:id="rId1388" display="http://www.simpsonca.edu/" xr:uid="{00000000-0004-0000-0100-00006B050000}"/>
    <hyperlink ref="D1390" r:id="rId1389" display="http://www.simpson.edu/" xr:uid="{00000000-0004-0000-0100-00006C050000}"/>
    <hyperlink ref="D1391" r:id="rId1390" display="http://sinte.indian.com/" xr:uid="{00000000-0004-0000-0100-00006D050000}"/>
    <hyperlink ref="D1392" r:id="rId1391" display="http://skadron.com/" xr:uid="{00000000-0004-0000-0100-00006E050000}"/>
    <hyperlink ref="D1393" r:id="rId1392" display="http://www.skidmore.edu/" xr:uid="{00000000-0004-0000-0100-00006F050000}"/>
    <hyperlink ref="D1394" r:id="rId1393" display="http://www.sru.edu/" xr:uid="{00000000-0004-0000-0100-000070050000}"/>
    <hyperlink ref="D1395" r:id="rId1394" display="http://www.smith.edu/" xr:uid="{00000000-0004-0000-0100-000071050000}"/>
    <hyperlink ref="D1396" r:id="rId1395" display="http://www.sdc.edu/" xr:uid="{00000000-0004-0000-0100-000072050000}"/>
    <hyperlink ref="D1397" r:id="rId1396" display="http://www.soka.edu/" xr:uid="{00000000-0004-0000-0100-000073050000}"/>
    <hyperlink ref="D1398" r:id="rId1397" display="http://www.sonoma.edu/" xr:uid="{00000000-0004-0000-0100-000074050000}"/>
    <hyperlink ref="D1399" r:id="rId1398" display="http://www.scsu.edu/" xr:uid="{00000000-0004-0000-0100-000075050000}"/>
    <hyperlink ref="D1400" r:id="rId1399" display="http://www.sdsmt.edu/" xr:uid="{00000000-0004-0000-0100-000076050000}"/>
    <hyperlink ref="D1401" r:id="rId1400" display="http://www.sdstate.edu/" xr:uid="{00000000-0004-0000-0100-000077050000}"/>
    <hyperlink ref="D1402" r:id="rId1401" display="http://www.southeasternbaptist.edu/" xr:uid="{00000000-0004-0000-0100-000078050000}"/>
    <hyperlink ref="D1403" r:id="rId1402" display="http://www.sebc.edu/" xr:uid="{00000000-0004-0000-0100-000079050000}"/>
    <hyperlink ref="D1404" r:id="rId1403" display="http://www.secollege.edu/" xr:uid="{00000000-0004-0000-0100-00007A050000}"/>
    <hyperlink ref="D1405" r:id="rId1404" display="http://www.southeastern.edu/" xr:uid="{00000000-0004-0000-0100-00007B050000}"/>
    <hyperlink ref="D1406" r:id="rId1405" display="http://www.sosu.edu/" xr:uid="{00000000-0004-0000-0100-00007C050000}"/>
    <hyperlink ref="D1407" r:id="rId1406" display="http://www.seu.edu/" xr:uid="{00000000-0004-0000-0100-00007D050000}"/>
    <hyperlink ref="D1408" r:id="rId1407" display="http://www.semo.edu/" xr:uid="{00000000-0004-0000-0100-00007E050000}"/>
    <hyperlink ref="D1409" r:id="rId1408" display="http://www.southern.edu/" xr:uid="{00000000-0004-0000-0100-00007F050000}"/>
    <hyperlink ref="D1410" r:id="rId1409" display="http://www.saumag.edu/" xr:uid="{00000000-0004-0000-0100-000080050000}"/>
    <hyperlink ref="D1411" r:id="rId1410" display="http://www.sccu.edu/" xr:uid="{00000000-0004-0000-0100-000081050000}"/>
    <hyperlink ref="D1412" r:id="rId1411" display="http://www.scco.edu/" xr:uid="{00000000-0004-0000-0100-000082050000}"/>
    <hyperlink ref="D1413" r:id="rId1412" display="http://www.sciarc.edu/" xr:uid="{00000000-0004-0000-0100-000083050000}"/>
    <hyperlink ref="D1414" r:id="rId1413" display="http://www.sco.edu/" xr:uid="{00000000-0004-0000-0100-000084050000}"/>
    <hyperlink ref="D1415" r:id="rId1414" display="http://www.scsu.ctstateu.edu/" xr:uid="{00000000-0004-0000-0100-000085050000}"/>
    <hyperlink ref="D1416" r:id="rId1415" display="http://www.siu.edu/" xr:uid="{00000000-0004-0000-0100-000086050000}"/>
    <hyperlink ref="D1417" r:id="rId1416" display="http://www.siue.edu/" xr:uid="{00000000-0004-0000-0100-000087050000}"/>
    <hyperlink ref="D1418" r:id="rId1417" display="http://www.smu.edu/" xr:uid="{00000000-0004-0000-0100-000088050000}"/>
    <hyperlink ref="D1419" r:id="rId1418" display="http://www.snu.edu/" xr:uid="{00000000-0004-0000-0100-000089050000}"/>
    <hyperlink ref="D1420" r:id="rId1419" display="http://www.snhu.edu/" xr:uid="{00000000-0004-0000-0100-00008A050000}"/>
    <hyperlink ref="D1421" r:id="rId1420" display="http://www.sou.edu/" xr:uid="{00000000-0004-0000-0100-00008B050000}"/>
    <hyperlink ref="D1422" r:id="rId1421" display="http://www.spsu.edu/" xr:uid="{00000000-0004-0000-0100-00008C050000}"/>
    <hyperlink ref="D1423" r:id="rId1422" display="http://www.subr.edu/" xr:uid="{00000000-0004-0000-0100-00008D050000}"/>
    <hyperlink ref="D1424" r:id="rId1423" display="http://www.suno.edu/" xr:uid="{00000000-0004-0000-0100-00008E050000}"/>
    <hyperlink ref="D1425" r:id="rId1424" display="http://www.susla.edu/" xr:uid="{00000000-0004-0000-0100-00008F050000}"/>
    <hyperlink ref="D1426" r:id="rId1425" display="http://www.suu.edu/" xr:uid="{00000000-0004-0000-0100-000090050000}"/>
    <hyperlink ref="D1427" r:id="rId1426" display="http://www.svc.edu/" xr:uid="{00000000-0004-0000-0100-000091050000}"/>
    <hyperlink ref="D1428" r:id="rId1427" display="http://www.swu.edu/" xr:uid="{00000000-0004-0000-0100-000092050000}"/>
    <hyperlink ref="D1429" r:id="rId1428" display="http://www.sfbc.edu/" xr:uid="{00000000-0004-0000-0100-000093050000}"/>
    <hyperlink ref="D1430" r:id="rId1429" display="http://www.stcl.edu/" xr:uid="{00000000-0004-0000-0100-000094050000}"/>
    <hyperlink ref="D1431" r:id="rId1430" display="http://www.sbuniv.edu/" xr:uid="{00000000-0004-0000-0100-000095050000}"/>
    <hyperlink ref="D1432" r:id="rId1431" display="http://www.swau.edu/" xr:uid="{00000000-0004-0000-0100-000096050000}"/>
    <hyperlink ref="D1433" r:id="rId1432" display="http://www.sagu.edu/" xr:uid="{00000000-0004-0000-0100-000097050000}"/>
    <hyperlink ref="D1434" r:id="rId1433" display="http://www.swbts.edu/" xr:uid="{00000000-0004-0000-0100-000098050000}"/>
    <hyperlink ref="D1435" r:id="rId1434" display="http://www.soulsociety.com/swcc.html" xr:uid="{00000000-0004-0000-0100-000099050000}"/>
    <hyperlink ref="D1436" r:id="rId1435" display="http://www.swcu.edu/" xr:uid="{00000000-0004-0000-0100-00009A050000}"/>
    <hyperlink ref="D1437" r:id="rId1436" display="http://www.sckans.edu/" xr:uid="{00000000-0004-0000-0100-00009B050000}"/>
    <hyperlink ref="D1438" r:id="rId1437" display="http://www.swc.edu/" xr:uid="{00000000-0004-0000-0100-00009C050000}"/>
    <hyperlink ref="D1439" r:id="rId1438" display="http://www.swosu.edu/" xr:uid="{00000000-0004-0000-0100-00009D050000}"/>
    <hyperlink ref="D1440" r:id="rId1439" display="http://www.southwestern.edu/" xr:uid="{00000000-0004-0000-0100-00009E050000}"/>
    <hyperlink ref="D1441" r:id="rId1440" display="http://www.swlaw.edu/" xr:uid="{00000000-0004-0000-0100-00009F050000}"/>
    <hyperlink ref="D1442" r:id="rId1441" display="http://www.smsu.edu/" xr:uid="{00000000-0004-0000-0100-0000A0050000}"/>
    <hyperlink ref="D1443" r:id="rId1442" display="http://www.wp.smsu.edu/" xr:uid="{00000000-0004-0000-0100-0000A1050000}"/>
    <hyperlink ref="D1444" r:id="rId1443" display="http://www.southwest.msus.edu/" xr:uid="{00000000-0004-0000-0100-0000A2050000}"/>
    <hyperlink ref="D1445" r:id="rId1444" display="http://www.swt.edu/" xr:uid="{00000000-0004-0000-0100-0000A3050000}"/>
    <hyperlink ref="D1446" r:id="rId1445" display="http://www.southwest.edu/" xr:uid="{00000000-0004-0000-0100-0000A4050000}"/>
    <hyperlink ref="D1447" r:id="rId1446" display="http://www.spalding.edu/" xr:uid="{00000000-0004-0000-0100-0000A5050000}"/>
    <hyperlink ref="D1448" r:id="rId1447" display="http://www.spelman.edu/" xr:uid="{00000000-0004-0000-0100-0000A6050000}"/>
    <hyperlink ref="D1449" r:id="rId1448" display="http://www.spertus.edu/" xr:uid="{00000000-0004-0000-0100-0000A7050000}"/>
    <hyperlink ref="D1450" r:id="rId1449" display="http://www.arbor.edu/" xr:uid="{00000000-0004-0000-0100-0000A8050000}"/>
    <hyperlink ref="D1451" r:id="rId1450" display="http://www.spfldcol.edu/" xr:uid="{00000000-0004-0000-0100-0000A9050000}"/>
    <hyperlink ref="D1452" r:id="rId1451" display="http://www.shc.edu/" xr:uid="{00000000-0004-0000-0100-0000AA050000}"/>
    <hyperlink ref="D1453" r:id="rId1452" display="http://www.sau.edu/" xr:uid="{00000000-0004-0000-0100-0000AB050000}"/>
    <hyperlink ref="D1454" r:id="rId1453" display="http://www.standford-university.cjb.net/" xr:uid="{00000000-0004-0000-0100-0000AC050000}"/>
    <hyperlink ref="D1455" r:id="rId1454" display="http://standford-university.edu.tf/" xr:uid="{00000000-0004-0000-0100-0000AD050000}"/>
    <hyperlink ref="D1456" r:id="rId1455" display="http://www.sapc.edu/" xr:uid="{00000000-0004-0000-0100-0000AE050000}"/>
    <hyperlink ref="D1457" r:id="rId1456" display="http://www.stanford.edu/" xr:uid="{00000000-0004-0000-0100-0000AF050000}"/>
    <hyperlink ref="D1458" r:id="rId1457" display="http://www.anselm.edu/" xr:uid="{00000000-0004-0000-0100-0000B0050000}"/>
    <hyperlink ref="D1459" r:id="rId1458" display="http://www.sacn.edu/" xr:uid="{00000000-0004-0000-0100-0000B1050000}"/>
    <hyperlink ref="D1460" r:id="rId1459" display="http://www.albany.edu/" xr:uid="{00000000-0004-0000-0100-0000B2050000}"/>
    <hyperlink ref="D1461" r:id="rId1460" display="http://www.binghamton.edu/" xr:uid="{00000000-0004-0000-0100-0000B3050000}"/>
    <hyperlink ref="D1462" r:id="rId1461" display="http://www.buffalo.edu/" xr:uid="{00000000-0004-0000-0100-0000B4050000}"/>
    <hyperlink ref="D1463" r:id="rId1462" display="http://www.newpaltz.edu/" xr:uid="{00000000-0004-0000-0100-0000B5050000}"/>
    <hyperlink ref="D1464" r:id="rId1463" display="http://www.oswego.edu/" xr:uid="{00000000-0004-0000-0100-0000B6050000}"/>
    <hyperlink ref="D1465" r:id="rId1464" display="http://www.sunysb.edu/" xr:uid="{00000000-0004-0000-0100-0000B7050000}"/>
    <hyperlink ref="D1466" r:id="rId1465" display="http://www.brockport.edu/" xr:uid="{00000000-0004-0000-0100-0000B8050000}"/>
    <hyperlink ref="D1467" r:id="rId1466" display="http://www.cortland.edu/" xr:uid="{00000000-0004-0000-0100-0000B9050000}"/>
    <hyperlink ref="D1468" r:id="rId1467" display="http://www.fredonia.edu/" xr:uid="{00000000-0004-0000-0100-0000BA050000}"/>
    <hyperlink ref="D1469" r:id="rId1468" display="http://www.geneseo.edu/" xr:uid="{00000000-0004-0000-0100-0000BB050000}"/>
    <hyperlink ref="D1470" r:id="rId1469" display="http://www.oldwestbury.edu/" xr:uid="{00000000-0004-0000-0100-0000BC050000}"/>
    <hyperlink ref="D1471" r:id="rId1470" display="http://www.oneonta.edu/" xr:uid="{00000000-0004-0000-0100-0000BD050000}"/>
    <hyperlink ref="D1472" r:id="rId1471" display="http://www.plattsburgh.edu/" xr:uid="{00000000-0004-0000-0100-0000BE050000}"/>
    <hyperlink ref="D1473" r:id="rId1472" display="http://www.potsdam.edu/" xr:uid="{00000000-0004-0000-0100-0000BF050000}"/>
    <hyperlink ref="D1474" r:id="rId1473" display="http://www.purchase.edu/" xr:uid="{00000000-0004-0000-0100-0000C0050000}"/>
    <hyperlink ref="D1475" r:id="rId1474" display="http://www.cobleskill.edu/" xr:uid="{00000000-0004-0000-0100-0000C1050000}"/>
    <hyperlink ref="D1476" r:id="rId1475" display="http://www.esf.edu/" xr:uid="{00000000-0004-0000-0100-0000C2050000}"/>
    <hyperlink ref="D1477" r:id="rId1476" display="http://www.sunyopt.edu/" xr:uid="{00000000-0004-0000-0100-0000C3050000}"/>
    <hyperlink ref="D1478" r:id="rId1477" display="http://www.alfredtech.edu/" xr:uid="{00000000-0004-0000-0100-0000C4050000}"/>
    <hyperlink ref="D1479" r:id="rId1478" display="http://www.farmingdale.edu/" xr:uid="{00000000-0004-0000-0100-0000C5050000}"/>
    <hyperlink ref="D1480" r:id="rId1479" display="http://www.hscbklyn.edu/" xr:uid="{00000000-0004-0000-0100-0000C6050000}"/>
    <hyperlink ref="D1481" r:id="rId1480" display="http://www.esc.edu/" xr:uid="{00000000-0004-0000-0100-0000C7050000}"/>
    <hyperlink ref="D1482" r:id="rId1481" display="http://www.hscsyr.edu/" xr:uid="{00000000-0004-0000-0100-0000C8050000}"/>
    <hyperlink ref="D1483" r:id="rId1482" display="http://www.sunyit.edu/" xr:uid="{00000000-0004-0000-0100-0000C9050000}"/>
    <hyperlink ref="D1484" r:id="rId1483" display="http://www.sunymaritime.edu/" xr:uid="{00000000-0004-0000-0100-0000CA050000}"/>
    <hyperlink ref="D1485" r:id="rId1484" display="http://www.eng.buffalo.edu/" xr:uid="{00000000-0004-0000-0100-0000CB050000}"/>
    <hyperlink ref="D1486" r:id="rId1485" display="http://www.sunycentral.edu/" xr:uid="{00000000-0004-0000-0100-0000CC050000}"/>
    <hyperlink ref="D1487" r:id="rId1486" display="http://www.upstate.edu/" xr:uid="{00000000-0004-0000-0100-0000CD050000}"/>
    <hyperlink ref="D1488" r:id="rId1487" display="http://www.westga.edu/" xr:uid="{00000000-0004-0000-0100-0000CE050000}"/>
    <hyperlink ref="D1489" r:id="rId1488" display="http://www.st-aug.edu/" xr:uid="{00000000-0004-0000-0100-0000CF050000}"/>
    <hyperlink ref="D1490" r:id="rId1489" display="http://www.sbi.edu/" xr:uid="{00000000-0004-0000-0100-0000D0050000}"/>
    <hyperlink ref="D1491" r:id="rId1490" display="http://www.sbu.edu/" xr:uid="{00000000-0004-0000-0100-0000D1050000}"/>
    <hyperlink ref="D1492" r:id="rId1491" display="http://www.stcloudstate.edu/" xr:uid="{00000000-0004-0000-0100-0000D2050000}"/>
    <hyperlink ref="D1493" r:id="rId1492" display="http://www.stedwards.edu/" xr:uid="{00000000-0004-0000-0100-0000D3050000}"/>
    <hyperlink ref="D1494" r:id="rId1493" display="http://www.stefan-university.edu/" xr:uid="{00000000-0004-0000-0100-0000D4050000}"/>
    <hyperlink ref="D1495" r:id="rId1494" display="http://www.sfasu.edu/" xr:uid="{00000000-0004-0000-0100-0000D5050000}"/>
    <hyperlink ref="D1496" r:id="rId1495" display="http://www.stephens.edu/" xr:uid="{00000000-0004-0000-0100-0000D6050000}"/>
    <hyperlink ref="D1497" r:id="rId1496" display="http://www.sterling.edu/" xr:uid="{00000000-0004-0000-0100-0000D7050000}"/>
    <hyperlink ref="D1498" r:id="rId1497" display="http://www.stetson.edu/" xr:uid="{00000000-0004-0000-0100-0000D8050000}"/>
    <hyperlink ref="D1499" r:id="rId1498" display="http://www.stevens-tech.edu/" xr:uid="{00000000-0004-0000-0100-0000D9050000}"/>
    <hyperlink ref="E1500" r:id="rId1499" display="http://www.stfranciscollege.edu/" xr:uid="{00000000-0004-0000-0100-0000DA050000}"/>
    <hyperlink ref="E1501" r:id="rId1500" display="http://www.sfc.edu/" xr:uid="{00000000-0004-0000-0100-0000DB050000}"/>
    <hyperlink ref="E1502" r:id="rId1501" display="http://www.sfcpa.edu/" xr:uid="{00000000-0004-0000-0100-0000DC050000}"/>
    <hyperlink ref="D1503" r:id="rId1502" display="http://www.osfsaintfrancis.org/" xr:uid="{00000000-0004-0000-0100-0000DD050000}"/>
    <hyperlink ref="D1504" r:id="rId1503" display="http://www.sgu.edu/" xr:uid="{00000000-0004-0000-0100-0000DE050000}"/>
    <hyperlink ref="D1505" r:id="rId1504" display="http://www.stillman.edu/" xr:uid="{00000000-0004-0000-0100-0000DF050000}"/>
    <hyperlink ref="D1506" r:id="rId1505" display="http://www.sjfc.edu/" xr:uid="{00000000-0004-0000-0100-0000E0050000}"/>
    <hyperlink ref="D1507" r:id="rId1506" display="http://www.sjca.edu/" xr:uid="{00000000-0004-0000-0100-0000E1050000}"/>
    <hyperlink ref="D1508" r:id="rId1507" display="http://www.sjcsf.edu/" xr:uid="{00000000-0004-0000-0100-0000E2050000}"/>
    <hyperlink ref="D1509" r:id="rId1508" display="http://www.stjohnsem.edu/" xr:uid="{00000000-0004-0000-0100-0000E3050000}"/>
    <hyperlink ref="D1510" r:id="rId1509" display="http://www.stjohns.edu/" xr:uid="{00000000-0004-0000-0100-0000E4050000}"/>
    <hyperlink ref="D1511" r:id="rId1510" display="http://www.sjc.edu/" xr:uid="{00000000-0004-0000-0100-0000E5050000}"/>
    <hyperlink ref="D1512" r:id="rId1511" display="http://www.stfrancis.edu/sjcn/sjcnhome.htm" xr:uid="{00000000-0004-0000-0100-0000E6050000}"/>
    <hyperlink ref="D1513" r:id="rId1512" display="http://www.saintjoe.edu/" xr:uid="{00000000-0004-0000-0100-0000E7050000}"/>
    <hyperlink ref="D1514" r:id="rId1513" display="http://www.sjcny.edu/" xr:uid="{00000000-0004-0000-0100-0000E8050000}"/>
    <hyperlink ref="E1515" r:id="rId1514" display="http://www.sjcny.edu/patchogue/" xr:uid="{00000000-0004-0000-0100-0000E9050000}"/>
    <hyperlink ref="D1516" r:id="rId1515" display="http://www.sjcme.edu/" xr:uid="{00000000-0004-0000-0100-0000EA050000}"/>
    <hyperlink ref="D1517" r:id="rId1516" display="http://www.sju.edu/" xr:uid="{00000000-0004-0000-0100-0000EB050000}"/>
    <hyperlink ref="D1518" r:id="rId1517" display="http://www.stlawu.edu/" xr:uid="{00000000-0004-0000-0100-0000EC050000}"/>
    <hyperlink ref="D1519" r:id="rId1518" display="http://www.saintleo.edu/" xr:uid="{00000000-0004-0000-0100-0000ED050000}"/>
    <hyperlink ref="D1520" r:id="rId1519" display="http://www.slcc4ministry.edu/" xr:uid="{00000000-0004-0000-0100-0000EE050000}"/>
    <hyperlink ref="D1521" r:id="rId1520" display="http://www.stlcop.edu/" xr:uid="{00000000-0004-0000-0100-0000EF050000}"/>
    <hyperlink ref="D1522" r:id="rId1521" display="http://www.slu.edu/" xr:uid="{00000000-0004-0000-0100-0000F0050000}"/>
    <hyperlink ref="D1523" r:id="rId1522" display="http://www.saint-lukes.org/about/slc/" xr:uid="{00000000-0004-0000-0100-0000F1050000}"/>
    <hyperlink ref="D1524" r:id="rId1523" display="http://www.stmartin.edu/" xr:uid="{00000000-0004-0000-0100-0000F2050000}"/>
    <hyperlink ref="D1525" r:id="rId1524" display="http://www.smcks.edu/" xr:uid="{00000000-0004-0000-0100-0000F3050000}"/>
    <hyperlink ref="D1526" r:id="rId1525" display="http://www.smwc.edu/" xr:uid="{00000000-0004-0000-0100-0000F4050000}"/>
    <hyperlink ref="D1527" r:id="rId1526" display="http://www.saintmarys.edu/" xr:uid="{00000000-0004-0000-0100-0000F5050000}"/>
    <hyperlink ref="D1528" r:id="rId1527" display="http://www.stmarys-ca.edu/" xr:uid="{00000000-0004-0000-0100-0000F6050000}"/>
    <hyperlink ref="D1529" r:id="rId1528" display="http://www.smcm.edu/" xr:uid="{00000000-0004-0000-0100-0000F7050000}"/>
    <hyperlink ref="D1530" r:id="rId1529" display="http://www.smumn.edu/" xr:uid="{00000000-0004-0000-0100-0000F8050000}"/>
    <hyperlink ref="D1531" r:id="rId1530" display="http://www.stmarytx.edu/" xr:uid="{00000000-0004-0000-0100-0000F9050000}"/>
    <hyperlink ref="D1532" r:id="rId1531" display="http://www.saintmeinrad.edu/" xr:uid="{00000000-0004-0000-0100-0000FA050000}"/>
    <hyperlink ref="D1533" r:id="rId1532" display="http://www.smcvt.edu/" xr:uid="{00000000-0004-0000-0100-0000FB050000}"/>
    <hyperlink ref="D1534" r:id="rId1533" display="http://www.snc.edu/" xr:uid="{00000000-0004-0000-0100-0000FC050000}"/>
    <hyperlink ref="D1535" r:id="rId1534" display="http://www.stolaf.edu/" xr:uid="{00000000-0004-0000-0100-0000FD050000}"/>
    <hyperlink ref="D1536" r:id="rId1535" display="http://www.stonehill.edu/" xr:uid="{00000000-0004-0000-0100-0000FE050000}"/>
    <hyperlink ref="D1537" r:id="rId1536" display="http://www.saintpauls.edu/" xr:uid="{00000000-0004-0000-0100-0000FF050000}"/>
    <hyperlink ref="D1538" r:id="rId1537" display="http://www.spcollege.edu/" xr:uid="{00000000-0004-0000-0100-000000060000}"/>
    <hyperlink ref="D1539" r:id="rId1538" display="http://www.spc.edu/" xr:uid="{00000000-0004-0000-0100-000001060000}"/>
    <hyperlink ref="D1540" r:id="rId1539" display="http://www.strayer.edu/" xr:uid="{00000000-0004-0000-0100-000002060000}"/>
    <hyperlink ref="D1541" r:id="rId1540" display="http://www.stac.edu/" xr:uid="{00000000-0004-0000-0100-000003060000}"/>
    <hyperlink ref="D1542" r:id="rId1541" display="http://www.stu.edu/" xr:uid="{00000000-0004-0000-0100-000004060000}"/>
    <hyperlink ref="D1543" r:id="rId1542" display="http://www.stvincent.edu/" xr:uid="{00000000-0004-0000-0100-000005060000}"/>
    <hyperlink ref="D1544" r:id="rId1543" display="http://www.sxu.edu/" xr:uid="{00000000-0004-0000-0100-000006060000}"/>
    <hyperlink ref="D1545" r:id="rId1544" display="http://www.suffolk.edu/" xr:uid="{00000000-0004-0000-0100-000007060000}"/>
    <hyperlink ref="D1546" r:id="rId1545" display="http://www.sullivan.edu/" xr:uid="{00000000-0004-0000-0100-000008060000}"/>
    <hyperlink ref="D1547" r:id="rId1546" display="http://www.sulross.edu/" xr:uid="{00000000-0004-0000-0100-000009060000}"/>
    <hyperlink ref="D1548" r:id="rId1547" display="http://www.susqu.edu/" xr:uid="{00000000-0004-0000-0100-00000A060000}"/>
    <hyperlink ref="D1549" r:id="rId1548" display="http://www.swarthmore.edu/" xr:uid="{00000000-0004-0000-0100-00000B060000}"/>
    <hyperlink ref="D1550" r:id="rId1549" display="http://www.sbc.edu/" xr:uid="{00000000-0004-0000-0100-00000C060000}"/>
    <hyperlink ref="D1551" r:id="rId1550" display="http://www.syr.edu/" xr:uid="{00000000-0004-0000-0100-00000D060000}"/>
    <hyperlink ref="D1552" r:id="rId1551" display="http://www.tabor.edu/" xr:uid="{00000000-0004-0000-0100-00000E060000}"/>
    <hyperlink ref="D1553" r:id="rId1552" display="http://www.talladega.edu/" xr:uid="{00000000-0004-0000-0100-00000F060000}"/>
    <hyperlink ref="D1554" r:id="rId1553" display="http://www.tarleton.edu/" xr:uid="{00000000-0004-0000-0100-000010060000}"/>
    <hyperlink ref="D1555" r:id="rId1554" display="http://www.tayloru.edu/" xr:uid="{00000000-0004-0000-0100-000011060000}"/>
    <hyperlink ref="E1556" r:id="rId1555" display="http://www.tayloru.edu/fw/" xr:uid="{00000000-0004-0000-0100-000012060000}"/>
    <hyperlink ref="E1557" r:id="rId1556" display="http://www.tc.columbia.edu/" xr:uid="{00000000-0004-0000-0100-000013060000}"/>
    <hyperlink ref="D1558" r:id="rId1557" display="http://www.temple.edu/" xr:uid="{00000000-0004-0000-0100-000014060000}"/>
    <hyperlink ref="D1559" r:id="rId1558" display="http://www.pcpm.edu/" xr:uid="{00000000-0004-0000-0100-000015060000}"/>
    <hyperlink ref="D1560" r:id="rId1559" display="http://www.tnstate.edu/" xr:uid="{00000000-0004-0000-0100-000016060000}"/>
    <hyperlink ref="D1561" r:id="rId1560" display="http://www.tntech.edu/" xr:uid="{00000000-0004-0000-0100-000017060000}"/>
    <hyperlink ref="D1562" r:id="rId1561" display="http://www.tntemple.edu/" xr:uid="{00000000-0004-0000-0100-000018060000}"/>
    <hyperlink ref="D1563" r:id="rId1562" display="http://www.twcnet.edu/" xr:uid="{00000000-0004-0000-0100-000019060000}"/>
    <hyperlink ref="D1564" r:id="rId1563" display="http://www.tamiu.edu/" xr:uid="{00000000-0004-0000-0100-00001A060000}"/>
    <hyperlink ref="D1565" r:id="rId1564" display="http://www.tamu.edu/" xr:uid="{00000000-0004-0000-0100-00001B060000}"/>
    <hyperlink ref="D1566" r:id="rId1565" display="http://www.tamu-commerce.edu/" xr:uid="{00000000-0004-0000-0100-00001C060000}"/>
    <hyperlink ref="D1567" r:id="rId1566" display="http://www.tamucc.edu/" xr:uid="{00000000-0004-0000-0100-00001D060000}"/>
    <hyperlink ref="D1568" r:id="rId1567" display="http://www.tamug.tamu.edu/" xr:uid="{00000000-0004-0000-0100-00001E060000}"/>
    <hyperlink ref="D1569" r:id="rId1568" display="http://www.tamuk.edu/" xr:uid="{00000000-0004-0000-0100-00001F060000}"/>
    <hyperlink ref="D1570" r:id="rId1569" display="http://www.tamut.edu/" xr:uid="{00000000-0004-0000-0100-000020060000}"/>
    <hyperlink ref="D1571" r:id="rId1570" display="http://www.txchiro.edu/" xr:uid="{00000000-0004-0000-0100-000021060000}"/>
    <hyperlink ref="D1572" r:id="rId1571" display="http://www.tcu.edu/" xr:uid="{00000000-0004-0000-0100-000022060000}"/>
    <hyperlink ref="D1573" r:id="rId1572" display="http://www.texascollege.edu/" xr:uid="{00000000-0004-0000-0100-000023060000}"/>
    <hyperlink ref="D1574" r:id="rId1573" display="http://www.hsc.unt.edu/education/tcom/" xr:uid="{00000000-0004-0000-0100-000024060000}"/>
    <hyperlink ref="D1575" r:id="rId1574" display="http://www.txlutheran.edu/" xr:uid="{00000000-0004-0000-0100-000025060000}"/>
    <hyperlink ref="D1576" r:id="rId1575" display="http://www.tsu.edu/" xr:uid="{00000000-0004-0000-0100-000026060000}"/>
    <hyperlink ref="D1577" r:id="rId1576" display="http://www.ttu.edu/" xr:uid="{00000000-0004-0000-0100-000027060000}"/>
    <hyperlink ref="D1578" r:id="rId1577" display="http://www.ttuhsc.edu/" xr:uid="{00000000-0004-0000-0100-000028060000}"/>
    <hyperlink ref="D1579" r:id="rId1578" display="http://www.txwesleyan.edu/" xr:uid="{00000000-0004-0000-0100-000029060000}"/>
    <hyperlink ref="D1580" r:id="rId1579" display="http://www.twu.edu/" xr:uid="{00000000-0004-0000-0100-00002A060000}"/>
    <hyperlink ref="D1581" r:id="rId1580" display="http://www.amercoll.edu/" xr:uid="{00000000-0004-0000-0100-00002B060000}"/>
    <hyperlink ref="D1582" r:id="rId1581" display="http://www.aiboston.edu/" xr:uid="{00000000-0004-0000-0100-00002C060000}"/>
    <hyperlink ref="D1583" r:id="rId1582" display="http://www.aipd.aii.edu/" xr:uid="{00000000-0004-0000-0100-00002D060000}"/>
    <hyperlink ref="D1584" r:id="rId1583" display="http://www.aisf.aii.edu/" xr:uid="{00000000-0004-0000-0100-00002E060000}"/>
    <hyperlink ref="D1585" r:id="rId1584" display="http://www.bostonconservatory.edu/" xr:uid="{00000000-0004-0000-0100-00002F060000}"/>
    <hyperlink ref="D1586" r:id="rId1585" display="http://www.cua.edu/" xr:uid="{00000000-0004-0000-0100-000030060000}"/>
    <hyperlink ref="D1587" r:id="rId1586" display="http://www.thechicagoschool.edu/" xr:uid="{00000000-0004-0000-0100-000031060000}"/>
    <hyperlink ref="D1588" r:id="rId1587" display="http://www.tci.edu/" xr:uid="{00000000-0004-0000-0100-000032060000}"/>
    <hyperlink ref="D1589" r:id="rId1588" display="http://www.tcnj.edu/" xr:uid="{00000000-0004-0000-0100-000033060000}"/>
    <hyperlink ref="D1590" r:id="rId1589" display="http://www.csf.edu/" xr:uid="{00000000-0004-0000-0100-000034060000}"/>
    <hyperlink ref="D1591" r:id="rId1590" display="http://www.css.edu/" xr:uid="{00000000-0004-0000-0100-000035060000}"/>
    <hyperlink ref="D1592" r:id="rId1591" display="http://www.cw.edu/" xr:uid="{00000000-0004-0000-0100-000036060000}"/>
    <hyperlink ref="D1593" r:id="rId1592" display="http://www.wooster.edu/" xr:uid="{00000000-0004-0000-0100-000037060000}"/>
    <hyperlink ref="D1594" r:id="rId1593" display="http://www.cooper.edu/" xr:uid="{00000000-0004-0000-0100-000038060000}"/>
    <hyperlink ref="D1595" r:id="rId1594" display="http://www.corcoran.edu/college/" xr:uid="{00000000-0004-0000-0100-000039060000}"/>
    <hyperlink ref="D1596" r:id="rId1595" display="http://www.curtis.edu/" xr:uid="{00000000-0004-0000-0100-00003A060000}"/>
    <hyperlink ref="D1597" r:id="rId1596" display="http://www.defiance.edu/" xr:uid="{00000000-0004-0000-0100-00003B060000}"/>
    <hyperlink ref="D1598" r:id="rId1597" display="http://www.dsl.edu/" xr:uid="{00000000-0004-0000-0100-00003C060000}"/>
    <hyperlink ref="D1599" r:id="rId1598" display="http://www.ilic.artinstitutes.edu/" xr:uid="{00000000-0004-0000-0100-00003D060000}"/>
    <hyperlink ref="D1600" r:id="rId1599" display="http://www.jhu.edu/" xr:uid="{00000000-0004-0000-0100-00003E060000}"/>
    <hyperlink ref="D1601" r:id="rId1600" display="http://www.juilliard.edu/" xr:uid="{00000000-0004-0000-0100-00003F060000}"/>
    <hyperlink ref="D1602" r:id="rId1601" display="http://www.lios.org/" xr:uid="{00000000-0004-0000-0100-000040060000}"/>
    <hyperlink ref="E1603" r:id="rId1602" display="http://www.mica.edu/" xr:uid="{00000000-0004-0000-0100-000041060000}"/>
    <hyperlink ref="D1604" r:id="rId1603" display="http://www.masters.edu/" xr:uid="{00000000-0004-0000-0100-000042060000}"/>
    <hyperlink ref="D1605" r:id="rId1604" display="http://www.mcgregor.edu/" xr:uid="{00000000-0004-0000-0100-000043060000}"/>
    <hyperlink ref="D1606" r:id="rId1605" display="http://www.naropa.edu/" xr:uid="{00000000-0004-0000-0100-000044060000}"/>
    <hyperlink ref="D1607" r:id="rId1606" display="http://www.newschool.edu/" xr:uid="{00000000-0004-0000-0100-000045060000}"/>
    <hyperlink ref="D1608" r:id="rId1607" display="http://www.rockefeller.edu/" xr:uid="{00000000-0004-0000-0100-000046060000}"/>
    <hyperlink ref="D1609" r:id="rId1608" display="http://www.artic.edu/" xr:uid="{00000000-0004-0000-0100-000047060000}"/>
    <hyperlink ref="D1610" r:id="rId1609" display="http://www.scripps.edu/" xr:uid="{00000000-0004-0000-0100-000048060000}"/>
    <hyperlink ref="D1611" r:id="rId1610" display="http://www.southernchristian.edu/" xr:uid="{00000000-0004-0000-0100-000049060000}"/>
    <hyperlink ref="D1612" r:id="rId1611" display="http://www.tulane.edu/" xr:uid="{00000000-0004-0000-0100-00004A060000}"/>
    <hyperlink ref="D1613" r:id="rId1612" display="http://www.tui.edu/" xr:uid="{00000000-0004-0000-0100-00004B060000}"/>
    <hyperlink ref="D1614" r:id="rId1613" display="http://www.thiel.edu/" xr:uid="{00000000-0004-0000-0100-00004C060000}"/>
    <hyperlink ref="D1615" r:id="rId1614" display="http://www.tesc.edu/" xr:uid="{00000000-0004-0000-0100-00004D060000}"/>
    <hyperlink ref="D1616" r:id="rId1615" display="http://www.thomasaquinas.edu/" xr:uid="{00000000-0004-0000-0100-00004E060000}"/>
    <hyperlink ref="D1617" r:id="rId1616" display="http://www.thomas.edu/" xr:uid="{00000000-0004-0000-0100-00004F060000}"/>
    <hyperlink ref="D1618" r:id="rId1617" display="http://www.tju.edu/" xr:uid="{00000000-0004-0000-0100-000050060000}"/>
    <hyperlink ref="D1619" r:id="rId1618" display="http://www.thomasmore.edu/" xr:uid="{00000000-0004-0000-0100-000051060000}"/>
    <hyperlink ref="D1620" r:id="rId1619" display="http://www.thomasmorecollege.edu/" xr:uid="{00000000-0004-0000-0100-000052060000}"/>
    <hyperlink ref="D1621" r:id="rId1620" display="http://www.thomasu.edu/" xr:uid="{00000000-0004-0000-0100-000053060000}"/>
    <hyperlink ref="D1622" r:id="rId1621" display="http://www.thunderbird.edu/" xr:uid="{00000000-0004-0000-0100-000054060000}"/>
    <hyperlink ref="D1623" r:id="rId1622" display="http://www.tiffin.edu/" xr:uid="{00000000-0004-0000-0100-000055060000}"/>
    <hyperlink ref="D1624" r:id="rId1623" display="http://www.toccoafalls.edu/" xr:uid="{00000000-0004-0000-0100-000056060000}"/>
    <hyperlink ref="D1625" r:id="rId1624" display="http://wwwtc.nhmccd.edu/" xr:uid="{00000000-0004-0000-0100-000057060000}"/>
    <hyperlink ref="D1626" r:id="rId1625" display="http://www.tougaloo.edu/" xr:uid="{00000000-0004-0000-0100-000058060000}"/>
    <hyperlink ref="D1627" r:id="rId1626" display="http://www.touro.edu/" xr:uid="{00000000-0004-0000-0100-000059060000}"/>
    <hyperlink ref="D1628" r:id="rId1627" display="http://www.tu.edu/" xr:uid="{00000000-0004-0000-0100-00005A060000}"/>
    <hyperlink ref="D1629" r:id="rId1628" display="http://www.towson.edu/" xr:uid="{00000000-0004-0000-0100-00005B060000}"/>
    <hyperlink ref="D1630" r:id="rId1629" display="http://www.transy.edu/" xr:uid="{00000000-0004-0000-0100-00005C060000}"/>
    <hyperlink ref="D1631" r:id="rId1630" display="http://www.trevecca.edu/" xr:uid="{00000000-0004-0000-0100-00005D060000}"/>
    <hyperlink ref="D1632" r:id="rId1631" display="http://www.ndsu.nodak.edu/tricollege/" xr:uid="{00000000-0004-0000-0100-00005E060000}"/>
    <hyperlink ref="D1633" r:id="rId1632" display="http://www.trident.edu/" xr:uid="{00000000-0004-0000-0100-00005F060000}"/>
    <hyperlink ref="D1634" r:id="rId1633" display="http://www.tbc2day.edu/" xr:uid="{00000000-0004-0000-0100-000060060000}"/>
    <hyperlink ref="D1635" r:id="rId1634" display="http://www.trnty.edu/" xr:uid="{00000000-0004-0000-0100-000061060000}"/>
    <hyperlink ref="D1636" r:id="rId1635" display="http://www.trincoll.edu/" xr:uid="{00000000-0004-0000-0100-000062060000}"/>
    <hyperlink ref="D1637" r:id="rId1636" display="http://www.trinitycollege.edu/" xr:uid="{00000000-0004-0000-0100-000063060000}"/>
    <hyperlink ref="D1638" r:id="rId1637" display="http://www.trinityvt.edu/" xr:uid="{00000000-0004-0000-0100-000064060000}"/>
    <hyperlink ref="D1639" r:id="rId1638" display="http://www.trin.edu/" xr:uid="{00000000-0004-0000-0100-000065060000}"/>
    <hyperlink ref="E1640" r:id="rId1639" display="http://www.tiu.edu/excel/index.html" xr:uid="{00000000-0004-0000-0100-000066060000}"/>
    <hyperlink ref="D1641" r:id="rId1640" display="http://www.trinitydc.edu/" xr:uid="{00000000-0004-0000-0100-000067060000}"/>
    <hyperlink ref="D1642" r:id="rId1641" display="http://www.trinity.edu/" xr:uid="{00000000-0004-0000-0100-000068060000}"/>
    <hyperlink ref="D1643" r:id="rId1642" display="http://www.tristate.edu/" xr:uid="{00000000-0004-0000-0100-000069060000}"/>
    <hyperlink ref="D1644" r:id="rId1643" display="http://www.triton.cc.il.us/" xr:uid="{00000000-0004-0000-0100-00006A060000}"/>
    <hyperlink ref="D1645" r:id="rId1644" display="http://www.troy.edu/" xr:uid="{00000000-0004-0000-0100-00006B060000}"/>
    <hyperlink ref="E1646" r:id="rId1645" display="http://dothan.troy.edu/" xr:uid="{00000000-0004-0000-0100-00006C060000}"/>
    <hyperlink ref="E1647" r:id="rId1646" display="http://montgomery.troy.edu/" xr:uid="{00000000-0004-0000-0100-00006D060000}"/>
    <hyperlink ref="E1648" r:id="rId1647" display="http://phenix.troy.edu/" xr:uid="{00000000-0004-0000-0100-00006E060000}"/>
    <hyperlink ref="E1649" r:id="rId1648" display="http://troy.troy.edu/" xr:uid="{00000000-0004-0000-0100-00006F060000}"/>
    <hyperlink ref="D1650" r:id="rId1649" display="http://www.trumancollege.net/" xr:uid="{00000000-0004-0000-0100-000070060000}"/>
    <hyperlink ref="D1651" r:id="rId1650" display="http://www.truman.edu/" xr:uid="{00000000-0004-0000-0100-000071060000}"/>
    <hyperlink ref="D1652" r:id="rId1651" display="http://www.tufts.edu/" xr:uid="{00000000-0004-0000-0100-000072060000}"/>
    <hyperlink ref="D1653" r:id="rId1652" display="http://www.tuiu.edu/" xr:uid="{00000000-0004-0000-0100-000073060000}"/>
    <hyperlink ref="D1654" r:id="rId1653" display="http://www.tusculum.edu/" xr:uid="{00000000-0004-0000-0100-000074060000}"/>
    <hyperlink ref="D1655" r:id="rId1654" display="http://www.tusk.edu/" xr:uid="{00000000-0004-0000-0100-000075060000}"/>
    <hyperlink ref="D1656" r:id="rId1655" display="http://www.usuhs.mil/" xr:uid="{00000000-0004-0000-0100-000076060000}"/>
    <hyperlink ref="D1657" r:id="rId1656" display="http://www.union.edu/" xr:uid="{00000000-0004-0000-0100-000077060000}"/>
    <hyperlink ref="D1658" r:id="rId1657" display="http://www.unionky.edu/" xr:uid="{00000000-0004-0000-0100-000078060000}"/>
    <hyperlink ref="D1659" r:id="rId1658" display="http://www.ucollege.edu/" xr:uid="{00000000-0004-0000-0100-000079060000}"/>
    <hyperlink ref="D1660" r:id="rId1659" display="http://www.union-psce.edu/" xr:uid="{00000000-0004-0000-0100-00007A060000}"/>
    <hyperlink ref="D1661" r:id="rId1660" display="http://www.uu.edu/" xr:uid="{00000000-0004-0000-0100-00007B060000}"/>
    <hyperlink ref="D1662" r:id="rId1661" display="http://www.usafa.af.mil/" xr:uid="{00000000-0004-0000-0100-00007C060000}"/>
    <hyperlink ref="D1663" r:id="rId1662" display="http://www.cga.edu/" xr:uid="{00000000-0004-0000-0100-00007D060000}"/>
    <hyperlink ref="D1664" r:id="rId1663" display="http://www.usiu.edu/" xr:uid="{00000000-0004-0000-0100-00007E060000}"/>
    <hyperlink ref="D1665" r:id="rId1664" display="http://www.usmma.edu/" xr:uid="{00000000-0004-0000-0100-00007F060000}"/>
    <hyperlink ref="D1666" r:id="rId1665" display="http://www.usma.edu/" xr:uid="{00000000-0004-0000-0100-000080060000}"/>
    <hyperlink ref="D1667" r:id="rId1666" display="http://www.usna.edu/" xr:uid="{00000000-0004-0000-0100-000081060000}"/>
    <hyperlink ref="D1668" r:id="rId1667" display="http://www.sport.ussa.edu/" xr:uid="{00000000-0004-0000-0100-000082060000}"/>
    <hyperlink ref="D1669" r:id="rId1668" display="http://www.unity.edu/" xr:uid="{00000000-0004-0000-0100-000083060000}"/>
    <hyperlink ref="D1670" r:id="rId1669" display="http://www.uat.edu/" xr:uid="{00000000-0004-0000-0100-000084060000}"/>
    <hyperlink ref="D1671" r:id="rId1670" display="http://www.uakron.edu/" xr:uid="{00000000-0004-0000-0100-000085060000}"/>
    <hyperlink ref="D1672" r:id="rId1671" display="http://www.uab.edu/" xr:uid="{00000000-0004-0000-0100-000086060000}"/>
    <hyperlink ref="D1673" r:id="rId1672" display="http://www.uah.edu/" xr:uid="{00000000-0004-0000-0100-000087060000}"/>
    <hyperlink ref="D1674" r:id="rId1673" display="http://www.ua.edu/" xr:uid="{00000000-0004-0000-0100-000088060000}"/>
    <hyperlink ref="D1675" r:id="rId1674" display="http://www.uofa.edu/" xr:uid="{00000000-0004-0000-0100-000089060000}"/>
    <hyperlink ref="D1676" r:id="rId1675" display="http://www.uaa.alaska.edu/" xr:uid="{00000000-0004-0000-0100-00008A060000}"/>
    <hyperlink ref="D1677" r:id="rId1676" display="http://www.uaf.edu/" xr:uid="{00000000-0004-0000-0100-00008B060000}"/>
    <hyperlink ref="D1678" r:id="rId1677" display="http://www.uas.alaska.edu/" xr:uid="{00000000-0004-0000-0100-00008C060000}"/>
    <hyperlink ref="D1679" r:id="rId1678" display="http://www.alaska.edu/" xr:uid="{00000000-0004-0000-0100-00008D060000}"/>
    <hyperlink ref="D1680" r:id="rId1679" display="http://www.arizona.edu/" xr:uid="{00000000-0004-0000-0100-00008E060000}"/>
    <hyperlink ref="D1681" r:id="rId1680" display="http://www.uark.edu/" xr:uid="{00000000-0004-0000-0100-00008F060000}"/>
    <hyperlink ref="D1682" r:id="rId1681" display="http://www.ualr.edu/" xr:uid="{00000000-0004-0000-0100-000090060000}"/>
    <hyperlink ref="D1683" r:id="rId1682" display="http://www.uamont.edu/" xr:uid="{00000000-0004-0000-0100-000091060000}"/>
    <hyperlink ref="D1684" r:id="rId1683" display="http://www.uapb.edu/" xr:uid="{00000000-0004-0000-0100-000092060000}"/>
    <hyperlink ref="D1685" r:id="rId1684" display="http://www.uams.edu/" xr:uid="{00000000-0004-0000-0100-000093060000}"/>
    <hyperlink ref="D1686" r:id="rId1685" display="http://www.uasys.edu/" xr:uid="{00000000-0004-0000-0100-000094060000}"/>
    <hyperlink ref="D1687" r:id="rId1686" display="http://www.ubalt.edu/" xr:uid="{00000000-0004-0000-0100-000095060000}"/>
    <hyperlink ref="D1688" r:id="rId1687" display="http://www.bridgeport.edu/" xr:uid="{00000000-0004-0000-0100-000096060000}"/>
    <hyperlink ref="E1689" r:id="rId1688" display="http://www.berkeley.edu/" xr:uid="{00000000-0004-0000-0100-000097060000}"/>
    <hyperlink ref="E1690" r:id="rId1689" display="http://www.ucdavis.edu/" xr:uid="{00000000-0004-0000-0100-000098060000}"/>
    <hyperlink ref="E1691" r:id="rId1690" display="http://www.uchastings.edu/" xr:uid="{00000000-0004-0000-0100-000099060000}"/>
    <hyperlink ref="E1692" r:id="rId1691" display="http://www.uci.edu/" xr:uid="{00000000-0004-0000-0100-00009A060000}"/>
    <hyperlink ref="E1693" r:id="rId1692" display="http://www.ucla.edu/" xr:uid="{00000000-0004-0000-0100-00009B060000}"/>
    <hyperlink ref="E1694" r:id="rId1693" display="http://www.ucmerced.edu/" xr:uid="{00000000-0004-0000-0100-00009C060000}"/>
    <hyperlink ref="E1695" r:id="rId1694" display="http://www.ucop.edu/" xr:uid="{00000000-0004-0000-0100-00009D060000}"/>
    <hyperlink ref="E1696" r:id="rId1695" display="http://www.ucr.edu/" xr:uid="{00000000-0004-0000-0100-00009E060000}"/>
    <hyperlink ref="E1697" r:id="rId1696" display="http://www.ucsd.edu/" xr:uid="{00000000-0004-0000-0100-00009F060000}"/>
    <hyperlink ref="E1698" r:id="rId1697" display="http://www.ucsf.edu/" xr:uid="{00000000-0004-0000-0100-0000A0060000}"/>
    <hyperlink ref="E1699" r:id="rId1698" display="http://www.ucsb.edu/" xr:uid="{00000000-0004-0000-0100-0000A1060000}"/>
    <hyperlink ref="E1700" r:id="rId1699" display="http://www.ucsc.edu/" xr:uid="{00000000-0004-0000-0100-0000A2060000}"/>
    <hyperlink ref="D1701" r:id="rId1700" display="http://www.universityofcalifornia.edu/" xr:uid="{00000000-0004-0000-0100-0000A3060000}"/>
    <hyperlink ref="D1702" r:id="rId1701" display="http://www.uca.edu/" xr:uid="{00000000-0004-0000-0100-0000A4060000}"/>
    <hyperlink ref="D1703" r:id="rId1702" display="http://www.ucf.edu/" xr:uid="{00000000-0004-0000-0100-0000A5060000}"/>
    <hyperlink ref="D1704" r:id="rId1703" display="http://www.ucmo.edu/" xr:uid="{00000000-0004-0000-0100-0000A6060000}"/>
    <hyperlink ref="D1705" r:id="rId1704" display="http://www.ucok.edu/" xr:uid="{00000000-0004-0000-0100-0000A7060000}"/>
    <hyperlink ref="D1706" r:id="rId1705" display="http://www.vvm.com/uct/" xr:uid="{00000000-0004-0000-0100-0000A8060000}"/>
    <hyperlink ref="D1707" r:id="rId1706" display="http://www.uchaswv.edu/" xr:uid="{00000000-0004-0000-0100-0000A9060000}"/>
    <hyperlink ref="D1708" r:id="rId1707" display="http://univchas.cofc.edu/" xr:uid="{00000000-0004-0000-0100-0000AA060000}"/>
    <hyperlink ref="D1709" r:id="rId1708" display="http://www.uchicago.edu/" xr:uid="{00000000-0004-0000-0100-0000AB060000}"/>
    <hyperlink ref="D1710" r:id="rId1709" display="http://www.uc.edu/" xr:uid="{00000000-0004-0000-0100-0000AC060000}"/>
    <hyperlink ref="D1711" r:id="rId1710" display="http://www.colorado.edu/" xr:uid="{00000000-0004-0000-0100-0000AD060000}"/>
    <hyperlink ref="D1712" r:id="rId1711" display="http://www.uccs.edu/" xr:uid="{00000000-0004-0000-0100-0000AE060000}"/>
    <hyperlink ref="D1713" r:id="rId1712" display="http://www.cudenver.edu/" xr:uid="{00000000-0004-0000-0100-0000AF060000}"/>
    <hyperlink ref="D1714" r:id="rId1713" display="http://www.uchsc.edu/" xr:uid="{00000000-0004-0000-0100-0000B0060000}"/>
    <hyperlink ref="D1715" r:id="rId1714" display="http://www.uconn.edu/" xr:uid="{00000000-0004-0000-0100-0000B1060000}"/>
    <hyperlink ref="D1716" r:id="rId1715" display="http://www.averypoint.uconn.edu/" xr:uid="{00000000-0004-0000-0100-0000B2060000}"/>
    <hyperlink ref="D1717" r:id="rId1716" display="http://vm.uconn.edu/~wwwhtfd/ugrad/" xr:uid="{00000000-0004-0000-0100-0000B3060000}"/>
    <hyperlink ref="D1718" r:id="rId1717" display="http://www.stamford.uconn.edu/" xr:uid="{00000000-0004-0000-0100-0000B4060000}"/>
    <hyperlink ref="D1719" r:id="rId1718" display="http://www.waterbury.uconn.edu/" xr:uid="{00000000-0004-0000-0100-0000B5060000}"/>
    <hyperlink ref="D1720" r:id="rId1719" display="http://www.uchc.edu/" xr:uid="{00000000-0004-0000-0100-0000B6060000}"/>
    <hyperlink ref="D1721" r:id="rId1720" display="http://www.udallas.edu/" xr:uid="{00000000-0004-0000-0100-0000B7060000}"/>
    <hyperlink ref="D1722" r:id="rId1721" display="http://www.udayton.edu/" xr:uid="{00000000-0004-0000-0100-0000B8060000}"/>
    <hyperlink ref="D1723" r:id="rId1722" display="http://www.udel.edu/" xr:uid="{00000000-0004-0000-0100-0000B9060000}"/>
    <hyperlink ref="D1724" r:id="rId1723" display="http://www.du.edu/" xr:uid="{00000000-0004-0000-0100-0000BA060000}"/>
    <hyperlink ref="D1725" r:id="rId1724" display="http://www.udmercy.edu/" xr:uid="{00000000-0004-0000-0100-0000BB060000}"/>
    <hyperlink ref="D1726" r:id="rId1725" display="http://www.dbq.edu/" xr:uid="{00000000-0004-0000-0100-0000BC060000}"/>
    <hyperlink ref="D1727" r:id="rId1726" display="http://www.evansville.edu/" xr:uid="{00000000-0004-0000-0100-0000BD060000}"/>
    <hyperlink ref="D1728" r:id="rId1727" display="http://www.findlay.edu/" xr:uid="{00000000-0004-0000-0100-0000BE060000}"/>
    <hyperlink ref="D1729" r:id="rId1728" display="http://www.ufl.edu/" xr:uid="{00000000-0004-0000-0100-0000BF060000}"/>
    <hyperlink ref="D1730" r:id="rId1729" display="http://www.uga.edu/" xr:uid="{00000000-0004-0000-0100-0000C0060000}"/>
    <hyperlink ref="D1731" r:id="rId1730" display="http://www.ugf.edu/" xr:uid="{00000000-0004-0000-0100-0000C1060000}"/>
    <hyperlink ref="D1732" r:id="rId1731" display="http://www.hartford.edu/" xr:uid="{00000000-0004-0000-0100-0000C2060000}"/>
    <hyperlink ref="D1733" r:id="rId1732" display="http://www.uhh.hawaii.edu/" xr:uid="{00000000-0004-0000-0100-0000C3060000}"/>
    <hyperlink ref="D1734" r:id="rId1733" display="http://www.uhm.hawaii.edu/" xr:uid="{00000000-0004-0000-0100-0000C4060000}"/>
    <hyperlink ref="D1735" r:id="rId1734" display="http://www.hawaii.edu/" xr:uid="{00000000-0004-0000-0100-0000C5060000}"/>
    <hyperlink ref="D1736" r:id="rId1735" display="http://www.uhwo.hawaii.edu/" xr:uid="{00000000-0004-0000-0100-0000C6060000}"/>
    <hyperlink ref="D1737" r:id="rId1736" display="http://www.uhs.edu/" xr:uid="{00000000-0004-0000-0100-0000C7060000}"/>
    <hyperlink ref="D1738" r:id="rId1737" display="http://www.uh.edu/" xr:uid="{00000000-0004-0000-0100-0000C8060000}"/>
    <hyperlink ref="E1739" r:id="rId1738" display="http://www.cl.uh.edu/" xr:uid="{00000000-0004-0000-0100-0000C9060000}"/>
    <hyperlink ref="E1740" r:id="rId1739" display="http://www.dt.uh.edu/" xr:uid="{00000000-0004-0000-0100-0000CA060000}"/>
    <hyperlink ref="E1741" r:id="rId1740" display="http://www.vic.uh.edu/" xr:uid="{00000000-0004-0000-0100-0000CB060000}"/>
    <hyperlink ref="D1742" r:id="rId1741" display="http://www.uidaho.edu/" xr:uid="{00000000-0004-0000-0100-0000CC060000}"/>
    <hyperlink ref="D1743" r:id="rId1742" display="http://www.uillinois.edu/" xr:uid="{00000000-0004-0000-0100-0000CD060000}"/>
    <hyperlink ref="D1744" r:id="rId1743" display="http://www.uic.edu/" xr:uid="{00000000-0004-0000-0100-0000CE060000}"/>
    <hyperlink ref="D1745" r:id="rId1744" display="http://www.uis.edu/" xr:uid="{00000000-0004-0000-0100-0000CF060000}"/>
    <hyperlink ref="D1746" r:id="rId1745" display="http://www.uiuc.edu/" xr:uid="{00000000-0004-0000-0100-0000D0060000}"/>
    <hyperlink ref="D1747" r:id="rId1746" display="http://www.uindy.edu/" xr:uid="{00000000-0004-0000-0100-0000D1060000}"/>
    <hyperlink ref="D1748" r:id="rId1747" display="http://www.uiowa.edu/" xr:uid="{00000000-0004-0000-0100-0000D2060000}"/>
    <hyperlink ref="D1749" r:id="rId1748" display="http://www.ku.edu/" xr:uid="{00000000-0004-0000-0100-0000D3060000}"/>
    <hyperlink ref="D1750" r:id="rId1749" display="http://www.uky.edu/" xr:uid="{00000000-0004-0000-0100-0000D4060000}"/>
    <hyperlink ref="D1751" r:id="rId1750" display="http://www.ulaverne.edu/" xr:uid="{00000000-0004-0000-0100-0000D5060000}"/>
    <hyperlink ref="D1752" r:id="rId1751" display="http://www.louisiana.edu/" xr:uid="{00000000-0004-0000-0100-0000D6060000}"/>
    <hyperlink ref="D1753" r:id="rId1752" display="http://www.ulm.edu/" xr:uid="{00000000-0004-0000-0100-0000D7060000}"/>
    <hyperlink ref="D1754" r:id="rId1753" display="http://www.louisville.edu/" xr:uid="{00000000-0004-0000-0100-0000D8060000}"/>
    <hyperlink ref="E1755" r:id="rId1754" display="http://www.uma.maine.edu/" xr:uid="{00000000-0004-0000-0100-0000D9060000}"/>
    <hyperlink ref="E1756" r:id="rId1755" display="http://www.umf.maine.edu/" xr:uid="{00000000-0004-0000-0100-0000DA060000}"/>
    <hyperlink ref="E1757" r:id="rId1756" display="http://www.umfk.maine.edu/" xr:uid="{00000000-0004-0000-0100-0000DB060000}"/>
    <hyperlink ref="E1758" r:id="rId1757" display="http://www.umm.maine.edu/" xr:uid="{00000000-0004-0000-0100-0000DC060000}"/>
    <hyperlink ref="E1759" r:id="rId1758" display="http://www.umaine.edu/" xr:uid="{00000000-0004-0000-0100-0000DD060000}"/>
    <hyperlink ref="E1760" r:id="rId1759" display="http://www.umpi.maine.edu/" xr:uid="{00000000-0004-0000-0100-0000DE060000}"/>
    <hyperlink ref="D1761" r:id="rId1760" display="http://www.maine.edu/" xr:uid="{00000000-0004-0000-0100-0000DF060000}"/>
    <hyperlink ref="D1762" r:id="rId1761" display="http://www.umtweb.edu/" xr:uid="{00000000-0004-0000-0100-0000E0060000}"/>
    <hyperlink ref="D1763" r:id="rId1762" display="http://www.umary.edu/" xr:uid="{00000000-0004-0000-0100-0000E1060000}"/>
    <hyperlink ref="D1764" r:id="rId1763" display="http://www.umhb.edu/" xr:uid="{00000000-0004-0000-0100-0000E2060000}"/>
    <hyperlink ref="D1765" r:id="rId1764" display="http://www.umbc.edu/" xr:uid="{00000000-0004-0000-0100-0000E3060000}"/>
    <hyperlink ref="D1766" r:id="rId1765" display="http://www.umd.edu/" xr:uid="{00000000-0004-0000-0100-0000E4060000}"/>
    <hyperlink ref="D1767" r:id="rId1766" display="http://www.umbc.edu/" xr:uid="{00000000-0004-0000-0100-0000E5060000}"/>
    <hyperlink ref="D1768" r:id="rId1767" display="http://www.umes.edu/" xr:uid="{00000000-0004-0000-0100-0000E6060000}"/>
    <hyperlink ref="D1769" r:id="rId1768" display="http://www.umm.edu/" xr:uid="{00000000-0004-0000-0100-0000E7060000}"/>
    <hyperlink ref="D1770" r:id="rId1769" display="http://www.ums.edu/" xr:uid="{00000000-0004-0000-0100-0000E8060000}"/>
    <hyperlink ref="D1771" r:id="rId1770" display="http://www.umuc.edu/" xr:uid="{00000000-0004-0000-0100-0000E9060000}"/>
    <hyperlink ref="D1772" r:id="rId1771" display="http://www.umass.edu/" xr:uid="{00000000-0004-0000-0100-0000EA060000}"/>
    <hyperlink ref="D1773" r:id="rId1772" display="http://www.umb.edu/" xr:uid="{00000000-0004-0000-0100-0000EB060000}"/>
    <hyperlink ref="D1774" r:id="rId1773" display="http://www.umassd.edu/" xr:uid="{00000000-0004-0000-0100-0000EC060000}"/>
    <hyperlink ref="D1775" r:id="rId1774" display="http://www.uml.edu/" xr:uid="{00000000-0004-0000-0100-0000ED060000}"/>
    <hyperlink ref="D1776" r:id="rId1775" display="http://www.ummed.edu/" xr:uid="{00000000-0004-0000-0100-0000EE060000}"/>
    <hyperlink ref="D1777" r:id="rId1776" display="http://www.massachusetts.edu/" xr:uid="{00000000-0004-0000-0100-0000EF060000}"/>
    <hyperlink ref="D1778" r:id="rId1777" display="http://www.umdnj.edu/" xr:uid="{00000000-0004-0000-0100-0000F0060000}"/>
    <hyperlink ref="D1779" r:id="rId1778" display="http://www.memphis.edu/" xr:uid="{00000000-0004-0000-0100-0000F1060000}"/>
    <hyperlink ref="D1780" r:id="rId1779" display="http://www.miami.edu/" xr:uid="{00000000-0004-0000-0100-0000F2060000}"/>
    <hyperlink ref="D1781" r:id="rId1780" display="http://www.umich.edu/" xr:uid="{00000000-0004-0000-0100-0000F3060000}"/>
    <hyperlink ref="D1782" r:id="rId1781" display="http://www.umd.umich.edu/" xr:uid="{00000000-0004-0000-0100-0000F4060000}"/>
    <hyperlink ref="D1783" r:id="rId1782" display="http://www.flint.umich.edu/" xr:uid="{00000000-0004-0000-0100-0000F5060000}"/>
    <hyperlink ref="D1784" r:id="rId1783" display="http://www.crk.umn.edu/" xr:uid="{00000000-0004-0000-0100-0000F6060000}"/>
    <hyperlink ref="D1785" r:id="rId1784" display="http://www.d.umn.edu/" xr:uid="{00000000-0004-0000-0100-0000F7060000}"/>
    <hyperlink ref="D1786" r:id="rId1785" display="http://www.mrs.umn.edu/" xr:uid="{00000000-0004-0000-0100-0000F8060000}"/>
    <hyperlink ref="D1787" r:id="rId1786" display="http://www1.umn.edu/twincities/" xr:uid="{00000000-0004-0000-0100-0000F9060000}"/>
    <hyperlink ref="D1788" r:id="rId1787" display="http://www.olemiss.edu/" xr:uid="{00000000-0004-0000-0100-0000FA060000}"/>
    <hyperlink ref="D1789" r:id="rId1788" display="http://www.umc.edu/" xr:uid="{00000000-0004-0000-0100-0000FB060000}"/>
    <hyperlink ref="D1790" r:id="rId1789" display="http://www.missouri.edu/" xr:uid="{00000000-0004-0000-0100-0000FC060000}"/>
    <hyperlink ref="D1791" r:id="rId1790" display="http://www.umkc.edu/" xr:uid="{00000000-0004-0000-0100-0000FD060000}"/>
    <hyperlink ref="D1792" r:id="rId1791" display="http://www.umsl.edu/" xr:uid="{00000000-0004-0000-0100-0000FE060000}"/>
    <hyperlink ref="D1793" r:id="rId1792" display="http://www.umobile.edu/" xr:uid="{00000000-0004-0000-0100-0000FF060000}"/>
    <hyperlink ref="D1794" r:id="rId1793" display="http://www.umt.edu/" xr:uid="{00000000-0004-0000-0100-000000070000}"/>
    <hyperlink ref="D1795" r:id="rId1794" display="http://www.umwestern.edu/" xr:uid="{00000000-0004-0000-0100-000001070000}"/>
    <hyperlink ref="D1796" r:id="rId1795" display="http://www.montevallo.edu/" xr:uid="{00000000-0004-0000-0100-000002070000}"/>
    <hyperlink ref="D1797" r:id="rId1796" display="http://www.unk.edu/" xr:uid="{00000000-0004-0000-0100-000003070000}"/>
    <hyperlink ref="D1798" r:id="rId1797" display="http://www.unl.edu/" xr:uid="{00000000-0004-0000-0100-000004070000}"/>
    <hyperlink ref="D1799" r:id="rId1798" display="http://www.unmc.edu/" xr:uid="{00000000-0004-0000-0100-000005070000}"/>
    <hyperlink ref="D1800" r:id="rId1799" display="http://www.unomaha.edu/" xr:uid="{00000000-0004-0000-0100-000006070000}"/>
    <hyperlink ref="D1801" r:id="rId1800" display="http://www.nebraska.edu/" xr:uid="{00000000-0004-0000-0100-000007070000}"/>
    <hyperlink ref="D1802" r:id="rId1801" display="http://www.unlv.edu/" xr:uid="{00000000-0004-0000-0100-000008070000}"/>
    <hyperlink ref="D1803" r:id="rId1802" display="http://www.unr.edu/" xr:uid="{00000000-0004-0000-0100-000009070000}"/>
    <hyperlink ref="D1804" r:id="rId1803" display="http://www.une.edu/" xr:uid="{00000000-0004-0000-0100-00000A070000}"/>
    <hyperlink ref="E1805" r:id="rId1804" display="http://www.une.edu/wcdirctn.html" xr:uid="{00000000-0004-0000-0100-00000B070000}"/>
    <hyperlink ref="D1806" r:id="rId1805" display="http://www.unh.edu/" xr:uid="{00000000-0004-0000-0100-00000C070000}"/>
    <hyperlink ref="D1807" r:id="rId1806" display="http://www.unh.edu/unhm/" xr:uid="{00000000-0004-0000-0100-00000D070000}"/>
    <hyperlink ref="D1808" r:id="rId1807" display="http://www.newhaven.edu/" xr:uid="{00000000-0004-0000-0100-00000E070000}"/>
    <hyperlink ref="D1809" r:id="rId1808" display="http://www.unm.edu/" xr:uid="{00000000-0004-0000-0100-00000F070000}"/>
    <hyperlink ref="D1810" r:id="rId1809" display="http://www.uno.edu/" xr:uid="{00000000-0004-0000-0100-000010070000}"/>
    <hyperlink ref="D1811" r:id="rId1810" display="http://www.una.edu/" xr:uid="{00000000-0004-0000-0100-000011070000}"/>
    <hyperlink ref="D1812" r:id="rId1811" display="http://www.universityofnorthamerica.org/" xr:uid="{00000000-0004-0000-0100-000012070000}"/>
    <hyperlink ref="D1813" r:id="rId1812" display="http://www.unca.edu/" xr:uid="{00000000-0004-0000-0100-000013070000}"/>
    <hyperlink ref="D1814" r:id="rId1813" display="http://www.unc.edu/" xr:uid="{00000000-0004-0000-0100-000014070000}"/>
    <hyperlink ref="D1815" r:id="rId1814" display="http://www.uncc.edu/" xr:uid="{00000000-0004-0000-0100-000015070000}"/>
    <hyperlink ref="D1816" r:id="rId1815" display="http://www.uncg.edu/" xr:uid="{00000000-0004-0000-0100-000016070000}"/>
    <hyperlink ref="D1817" r:id="rId1816" display="http://www.uncp.edu/" xr:uid="{00000000-0004-0000-0100-000017070000}"/>
    <hyperlink ref="D1818" r:id="rId1817" display="http://www.uncwil.edu/" xr:uid="{00000000-0004-0000-0100-000018070000}"/>
    <hyperlink ref="D1819" r:id="rId1818" display="http://www.und.nodak.edu/" xr:uid="{00000000-0004-0000-0100-000019070000}"/>
    <hyperlink ref="D1820" r:id="rId1819" display="http://www.univnorthco.edu/" xr:uid="{00000000-0004-0000-0100-00001A070000}"/>
    <hyperlink ref="D1821" r:id="rId1820" display="http://www.uni.edu/" xr:uid="{00000000-0004-0000-0100-00001B070000}"/>
    <hyperlink ref="D1822" r:id="rId1821" display="http://www.unva.edu/" xr:uid="{00000000-0004-0000-0100-00001C070000}"/>
    <hyperlink ref="D1823" r:id="rId1822" display="http://www.unw.edu/" xr:uid="{00000000-0004-0000-0100-00001D070000}"/>
    <hyperlink ref="D1824" r:id="rId1823" display="http://www.unf.edu/" xr:uid="{00000000-0004-0000-0100-00001E070000}"/>
    <hyperlink ref="D1825" r:id="rId1824" display="http://www.unt.edu/" xr:uid="{00000000-0004-0000-0100-00001F070000}"/>
    <hyperlink ref="D1826" r:id="rId1825" display="http://www.hsc.unt.edu/" xr:uid="{00000000-0004-0000-0100-000020070000}"/>
    <hyperlink ref="D1827" r:id="rId1826" display="http://www.unw.ac/" xr:uid="{00000000-0004-0000-0100-000021070000}"/>
    <hyperlink ref="D1828" r:id="rId1827" display="http://www.nd.edu/" xr:uid="{00000000-0004-0000-0100-000022070000}"/>
    <hyperlink ref="D1829" r:id="rId1828" display="http://www.ou.edu/" xr:uid="{00000000-0004-0000-0100-000023070000}"/>
    <hyperlink ref="D1830" r:id="rId1829" display="http://www.ouhsc.edu/" xr:uid="{00000000-0004-0000-0100-000024070000}"/>
    <hyperlink ref="D1831" r:id="rId1830" display="http://www.uoregon.edu/" xr:uid="{00000000-0004-0000-0100-000025070000}"/>
    <hyperlink ref="D1832" r:id="rId1831" display="http://www.uomhs.edu/" xr:uid="{00000000-0004-0000-0100-000026070000}"/>
    <hyperlink ref="D1833" r:id="rId1832" display="http://www.upenn.edu/" xr:uid="{00000000-0004-0000-0100-000027070000}"/>
    <hyperlink ref="D1834" r:id="rId1833" display="http://www.phoenix.edu/" xr:uid="{00000000-0004-0000-0100-000028070000}"/>
    <hyperlink ref="D1835" r:id="rId1834" display="http://www.pitt.edu/" xr:uid="{00000000-0004-0000-0100-000029070000}"/>
    <hyperlink ref="D1836" r:id="rId1835" display="http://www.upb.pitt.edu/" xr:uid="{00000000-0004-0000-0100-00002A070000}"/>
    <hyperlink ref="D1837" r:id="rId1836" display="http://www.pitt.edu/~upg/" xr:uid="{00000000-0004-0000-0100-00002B070000}"/>
    <hyperlink ref="D1838" r:id="rId1837" display="http://www.pitt.edu/~upjweb/" xr:uid="{00000000-0004-0000-0100-00002C070000}"/>
    <hyperlink ref="D1839" r:id="rId1838" display="http://www.uofport.edu/" xr:uid="{00000000-0004-0000-0100-00002D070000}"/>
    <hyperlink ref="D1840" r:id="rId1839" display="http://www.ups.edu/" xr:uid="{00000000-0004-0000-0100-00002E070000}"/>
    <hyperlink ref="D1841" r:id="rId1840" display="http://www.redlands.edu/" xr:uid="{00000000-0004-0000-0100-00002F070000}"/>
    <hyperlink ref="D1842" r:id="rId1841" display="http://www.uri.edu/" xr:uid="{00000000-0004-0000-0100-000030070000}"/>
    <hyperlink ref="D1843" r:id="rId1842" display="http://www.urich.edu/" xr:uid="{00000000-0004-0000-0100-000031070000}"/>
    <hyperlink ref="D1844" r:id="rId1843" display="http://www.urgrgcc.edu/" xr:uid="{00000000-0004-0000-0100-000032070000}"/>
    <hyperlink ref="D1845" r:id="rId1844" display="http://www.rochester.edu/" xr:uid="{00000000-0004-0000-0100-000033070000}"/>
    <hyperlink ref="D1846" r:id="rId1845" display="http://www.sandiego.edu/" xr:uid="{00000000-0004-0000-0100-000034070000}"/>
    <hyperlink ref="D1847" r:id="rId1846" display="http://www.usfca.edu/" xr:uid="{00000000-0004-0000-0100-000035070000}"/>
    <hyperlink ref="D1848" r:id="rId1847" display="http://www.usao.edu/" xr:uid="{00000000-0004-0000-0100-000036070000}"/>
    <hyperlink ref="D1849" r:id="rId1848" display="http://www.uofs.edu/" xr:uid="{00000000-0004-0000-0100-000037070000}"/>
    <hyperlink ref="D1850" r:id="rId1849" display="http://www.thecoo.edu/" xr:uid="{00000000-0004-0000-0100-000038070000}"/>
    <hyperlink ref="D1851" r:id="rId1850" display="http://www.usouthal.edu/" xr:uid="{00000000-0004-0000-0100-000039070000}"/>
    <hyperlink ref="D1852" r:id="rId1851" display="http://www.sc.edu/" xr:uid="{00000000-0004-0000-0100-00003A070000}"/>
    <hyperlink ref="D1853" r:id="rId1852" display="http://www.usca.sc.edu/" xr:uid="{00000000-0004-0000-0100-00003B070000}"/>
    <hyperlink ref="D1854" r:id="rId1853" display="http://www.sc.edu/beaufort/" xr:uid="{00000000-0004-0000-0100-00003C070000}"/>
    <hyperlink ref="D1855" r:id="rId1854" display="http://www.sc.edu/lancaster/" xr:uid="{00000000-0004-0000-0100-00003D070000}"/>
    <hyperlink ref="D1856" r:id="rId1855" display="http://www.rcce.sc.edu/salkehatchie/" xr:uid="{00000000-0004-0000-0100-00003E070000}"/>
    <hyperlink ref="D1857" r:id="rId1856" display="http://www.uscs.edu/" xr:uid="{00000000-0004-0000-0100-00003F070000}"/>
    <hyperlink ref="D1858" r:id="rId1857" display="http://www.uscsumter.edu/" xr:uid="{00000000-0004-0000-0100-000040070000}"/>
    <hyperlink ref="D1859" r:id="rId1858" display="http://www.sc.edu/union/" xr:uid="{00000000-0004-0000-0100-000041070000}"/>
    <hyperlink ref="D1860" r:id="rId1859" display="http://www.usd.edu/" xr:uid="{00000000-0004-0000-0100-000042070000}"/>
    <hyperlink ref="D1861" r:id="rId1860" display="http://www.usc.edu/" xr:uid="{00000000-0004-0000-0100-000043070000}"/>
    <hyperlink ref="D1862" r:id="rId1861" display="http://www.usi.edu/" xr:uid="{00000000-0004-0000-0100-000044070000}"/>
    <hyperlink ref="D1863" r:id="rId1862" display="http://www.usm.maine.edu/" xr:uid="{00000000-0004-0000-0100-000045070000}"/>
    <hyperlink ref="D1864" r:id="rId1863" display="http://www.usm.edu/" xr:uid="{00000000-0004-0000-0100-000046070000}"/>
    <hyperlink ref="D1865" r:id="rId1864" display="http://www.usf.edu/" xr:uid="{00000000-0004-0000-0100-000047070000}"/>
    <hyperlink ref="D1866" r:id="rId1865" display="http://www.stfrancis.edu/" xr:uid="{00000000-0004-0000-0100-000048070000}"/>
    <hyperlink ref="E1867" r:id="rId1866" display="http://www.stthom.edu/" xr:uid="{00000000-0004-0000-0100-000049070000}"/>
    <hyperlink ref="E1868" r:id="rId1867" display="http://www.stthomas.edu/" xr:uid="{00000000-0004-0000-0100-00004A070000}"/>
    <hyperlink ref="D1869" r:id="rId1868" display="http://www.utampa.edu/" xr:uid="{00000000-0004-0000-0100-00004B070000}"/>
    <hyperlink ref="D1870" r:id="rId1869" display="http://www.utc.edu/" xr:uid="{00000000-0004-0000-0100-00004C070000}"/>
    <hyperlink ref="D1871" r:id="rId1870" display="http://www.utk.edu/" xr:uid="{00000000-0004-0000-0100-00004D070000}"/>
    <hyperlink ref="D1872" r:id="rId1871" display="http://www.utm.edu/" xr:uid="{00000000-0004-0000-0100-00004E070000}"/>
    <hyperlink ref="D1873" r:id="rId1872" display="http://www.utmem.edu/" xr:uid="{00000000-0004-0000-0100-00004F070000}"/>
    <hyperlink ref="D1874" r:id="rId1873" display="http://www.utsi.edu/" xr:uid="{00000000-0004-0000-0100-000050070000}"/>
    <hyperlink ref="D1875" r:id="rId1874" display="http://www.utsystem.edu/" xr:uid="{00000000-0004-0000-0100-000051070000}"/>
    <hyperlink ref="D1876" r:id="rId1875" display="http://www.uta.edu/" xr:uid="{00000000-0004-0000-0100-000052070000}"/>
    <hyperlink ref="D1877" r:id="rId1876" display="http://www.utexas.edu/" xr:uid="{00000000-0004-0000-0100-000053070000}"/>
    <hyperlink ref="D1878" r:id="rId1877" display="http://www.utb.edu/" xr:uid="{00000000-0004-0000-0100-000054070000}"/>
    <hyperlink ref="D1879" r:id="rId1878" display="http://www.utdallas.edu/" xr:uid="{00000000-0004-0000-0100-000055070000}"/>
    <hyperlink ref="D1880" r:id="rId1879" display="http://www.utep.edu/" xr:uid="{00000000-0004-0000-0100-000056070000}"/>
    <hyperlink ref="D1881" r:id="rId1880" display="http://www.utsa.edu/" xr:uid="{00000000-0004-0000-0100-000057070000}"/>
    <hyperlink ref="D1882" r:id="rId1881" display="http://www.uttyl.edu/" xr:uid="{00000000-0004-0000-0100-000058070000}"/>
    <hyperlink ref="D1883" r:id="rId1882" display="http://www.uthouston.edu/" xr:uid="{00000000-0004-0000-0100-000059070000}"/>
    <hyperlink ref="D1884" r:id="rId1883" display="http://www.uthct.edu/" xr:uid="{00000000-0004-0000-0100-00005A070000}"/>
    <hyperlink ref="D1885" r:id="rId1884" display="http://www.uthscsa.edu/" xr:uid="{00000000-0004-0000-0100-00005B070000}"/>
    <hyperlink ref="D1886" r:id="rId1885" display="http://www.mdanderson.org/" xr:uid="{00000000-0004-0000-0100-00005C070000}"/>
    <hyperlink ref="D1887" r:id="rId1886" display="http://www.utmb.edu/" xr:uid="{00000000-0004-0000-0100-00005D070000}"/>
    <hyperlink ref="D1888" r:id="rId1887" display="http://www.utpb.edu/" xr:uid="{00000000-0004-0000-0100-00005E070000}"/>
    <hyperlink ref="D1889" r:id="rId1888" display="http://www.panam.edu/" xr:uid="{00000000-0004-0000-0100-00005F070000}"/>
    <hyperlink ref="D1890" r:id="rId1889" display="http://www.utsouthwestern.edu/" xr:uid="{00000000-0004-0000-0100-000060070000}"/>
    <hyperlink ref="D1891" r:id="rId1890" display="http://www.uarts.edu/" xr:uid="{00000000-0004-0000-0100-000061070000}"/>
    <hyperlink ref="D1892" r:id="rId1891" display="http://www.udc.edu/" xr:uid="{00000000-0004-0000-0100-000062070000}"/>
    <hyperlink ref="D1893" r:id="rId1892" display="http://www.uiw.edu/" xr:uid="{00000000-0004-0000-0100-000063070000}"/>
    <hyperlink ref="D1894" r:id="rId1893" display="http://www.ozarks.edu/" xr:uid="{00000000-0004-0000-0100-000064070000}"/>
    <hyperlink ref="D1895" r:id="rId1894" display="http://www.pacific.edu/" xr:uid="{00000000-0004-0000-0100-000065070000}"/>
    <hyperlink ref="D1896" r:id="rId1895" display="http://www.usip.edu/" xr:uid="{00000000-0004-0000-0100-000066070000}"/>
    <hyperlink ref="D1897" r:id="rId1896" display="http://www.sewanee.edu/" xr:uid="{00000000-0004-0000-0100-000067070000}"/>
    <hyperlink ref="D1898" r:id="rId1897" display="http://www.usw.edu/" xr:uid="{00000000-0004-0000-0100-000068070000}"/>
    <hyperlink ref="D1899" r:id="rId1898" display="http://www.utoledo.edu/" xr:uid="{00000000-0004-0000-0100-000069070000}"/>
    <hyperlink ref="D1900" r:id="rId1899" display="http://www.utulsa.edu/" xr:uid="{00000000-0004-0000-0100-00006A070000}"/>
    <hyperlink ref="D1901" r:id="rId1900" display="http://www.utah.edu/" xr:uid="{00000000-0004-0000-0100-00006B070000}"/>
    <hyperlink ref="D1902" r:id="rId1901" display="http://www.uvm.edu/" xr:uid="{00000000-0004-0000-0100-00006C070000}"/>
    <hyperlink ref="D1903" r:id="rId1902" display="http://www.virginia.edu/" xr:uid="{00000000-0004-0000-0100-00006D070000}"/>
    <hyperlink ref="E1904" r:id="rId1903" display="http://www.wise.virginia.edu/" xr:uid="{00000000-0004-0000-0100-00006E070000}"/>
    <hyperlink ref="D1905" r:id="rId1904" display="http://www.washington.edu/" xr:uid="{00000000-0004-0000-0100-00006F070000}"/>
    <hyperlink ref="E1906" r:id="rId1905" display="http://www.tacoma.washington.edu/" xr:uid="{00000000-0004-0000-0100-000070070000}"/>
    <hyperlink ref="D1907" r:id="rId1906" display="http://www.uwa.edu/" xr:uid="{00000000-0004-0000-0100-000071070000}"/>
    <hyperlink ref="D1908" r:id="rId1907" display="http://www.uwf.edu/" xr:uid="{00000000-0004-0000-0100-000072070000}"/>
    <hyperlink ref="D1909" r:id="rId1908" display="http://www.uwla.edu/" xr:uid="{00000000-0004-0000-0100-000073070000}"/>
    <hyperlink ref="D1910" r:id="rId1909" display="http://www.uwec.edu/" xr:uid="{00000000-0004-0000-0100-000074070000}"/>
    <hyperlink ref="D1911" r:id="rId1910" display="http://www.uwgb.edu/" xr:uid="{00000000-0004-0000-0100-000075070000}"/>
    <hyperlink ref="D1912" r:id="rId1911" display="http://www.uwlax.edu/" xr:uid="{00000000-0004-0000-0100-000076070000}"/>
    <hyperlink ref="D1913" r:id="rId1912" display="http://www.wisc.edu/" xr:uid="{00000000-0004-0000-0100-000077070000}"/>
    <hyperlink ref="D1914" r:id="rId1913" display="http://www.uwm.edu/" xr:uid="{00000000-0004-0000-0100-000078070000}"/>
    <hyperlink ref="D1915" r:id="rId1914" display="http://www.uwosh.edu/" xr:uid="{00000000-0004-0000-0100-000079070000}"/>
    <hyperlink ref="D1916" r:id="rId1915" display="http://www.uwp.edu/" xr:uid="{00000000-0004-0000-0100-00007A070000}"/>
    <hyperlink ref="D1917" r:id="rId1916" display="http://www.uwplatt.edu/" xr:uid="{00000000-0004-0000-0100-00007B070000}"/>
    <hyperlink ref="D1918" r:id="rId1917" display="http://www.uwrf.edu/" xr:uid="{00000000-0004-0000-0100-00007C070000}"/>
    <hyperlink ref="D1919" r:id="rId1918" display="http://www.uwsp.edu/" xr:uid="{00000000-0004-0000-0100-00007D070000}"/>
    <hyperlink ref="D1920" r:id="rId1919" display="http://www.uwstout.edu/" xr:uid="{00000000-0004-0000-0100-00007E070000}"/>
    <hyperlink ref="D1921" r:id="rId1920" display="http://www.uwsuper.edu/" xr:uid="{00000000-0004-0000-0100-00007F070000}"/>
    <hyperlink ref="D1922" r:id="rId1921" display="http://www.uww.edu/" xr:uid="{00000000-0004-0000-0100-000080070000}"/>
    <hyperlink ref="D1923" r:id="rId1922" display="http://www.uwyo.edu/" xr:uid="{00000000-0004-0000-0100-000081070000}"/>
    <hyperlink ref="D1924" r:id="rId1923" display="http://www.uiu.edu/" xr:uid="{00000000-0004-0000-0100-000082070000}"/>
    <hyperlink ref="D1925" r:id="rId1924" display="http://www.urbana.edu/" xr:uid="{00000000-0004-0000-0100-000083070000}"/>
    <hyperlink ref="D1926" r:id="rId1925" display="http://www.ursinus.edu/" xr:uid="{00000000-0004-0000-0100-000084070000}"/>
    <hyperlink ref="D1927" r:id="rId1926" display="http://www.ursuline.edu/" xr:uid="{00000000-0004-0000-0100-000085070000}"/>
    <hyperlink ref="D1928" r:id="rId1927" display="http://www.usu.edu/" xr:uid="{00000000-0004-0000-0100-000086070000}"/>
    <hyperlink ref="D1929" r:id="rId1928" display="http://www.uvsc.edu/" xr:uid="{00000000-0004-0000-0100-000087070000}"/>
    <hyperlink ref="D1930" r:id="rId1929" display="http://www.ucsu.edu/" xr:uid="{00000000-0004-0000-0100-000088070000}"/>
    <hyperlink ref="D1931" r:id="rId1930" display="http://www.valdosta.edu/" xr:uid="{00000000-0004-0000-0100-000089070000}"/>
    <hyperlink ref="D1932" r:id="rId1931" display="http://www.vcsu.nodak.edu/" xr:uid="{00000000-0004-0000-0100-00008A070000}"/>
    <hyperlink ref="D1933" r:id="rId1932" display="http://www.vfcc.edu/" xr:uid="{00000000-0004-0000-0100-00008B070000}"/>
    <hyperlink ref="D1934" r:id="rId1933" display="http://www.valpo.edu/" xr:uid="{00000000-0004-0000-0100-00008C070000}"/>
    <hyperlink ref="D1935" r:id="rId1934" display="http://www.vanderbilt.edu/" xr:uid="{00000000-0004-0000-0100-00008D070000}"/>
    <hyperlink ref="D1936" r:id="rId1935" display="http://www.vandercook.edu/" xr:uid="{00000000-0004-0000-0100-00008E070000}"/>
    <hyperlink ref="D1937" r:id="rId1936" display="http://www.vanguard.edu/" xr:uid="{00000000-0004-0000-0100-00008F070000}"/>
    <hyperlink ref="D1938" r:id="rId1937" display="http://www.vassar.edu/" xr:uid="{00000000-0004-0000-0100-000090070000}"/>
    <hyperlink ref="D1939" r:id="rId1938" display="http://www.vennard.edu/" xr:uid="{00000000-0004-0000-0100-000091070000}"/>
    <hyperlink ref="D1940" r:id="rId1939" display="http://www.vermontlaw.edu/" xr:uid="{00000000-0004-0000-0100-000092070000}"/>
    <hyperlink ref="D1941" r:id="rId1940" display="http://www.vtc.vsc.edu/" xr:uid="{00000000-0004-0000-0100-000093070000}"/>
    <hyperlink ref="D1942" r:id="rId1941" display="http://www.vjc.edu/" xr:uid="{00000000-0004-0000-0100-000094070000}"/>
    <hyperlink ref="D1943" r:id="rId1942" display="http://www.villanova.edu/" xr:uid="{00000000-0004-0000-0100-000095070000}"/>
    <hyperlink ref="D1944" r:id="rId1943" display="http://www.vc.edu/" xr:uid="{00000000-0004-0000-0100-000096070000}"/>
    <hyperlink ref="D1945" r:id="rId1944" display="http://www.vcu.edu/" xr:uid="{00000000-0004-0000-0100-000097070000}"/>
    <hyperlink ref="D1946" r:id="rId1945" display="http://www.vic.edu/" xr:uid="{00000000-0004-0000-0100-000098070000}"/>
    <hyperlink ref="D1947" r:id="rId1946" display="http://www.viu.edu/" xr:uid="{00000000-0004-0000-0100-000099070000}"/>
    <hyperlink ref="D1948" r:id="rId1947" display="http://www.vmi.edu/" xr:uid="{00000000-0004-0000-0100-00009A070000}"/>
    <hyperlink ref="D1949" r:id="rId1948" display="http://www.vt.edu/" xr:uid="{00000000-0004-0000-0100-00009B070000}"/>
    <hyperlink ref="D1950" r:id="rId1949" display="http://www.vsu.edu/" xr:uid="{00000000-0004-0000-0100-00009C070000}"/>
    <hyperlink ref="D1951" r:id="rId1950" display="http://www.vuu.edu/" xr:uid="{00000000-0004-0000-0100-00009D070000}"/>
    <hyperlink ref="D1952" r:id="rId1951" display="http://www.vwc.edu/" xr:uid="{00000000-0004-0000-0100-00009E070000}"/>
    <hyperlink ref="D1953" r:id="rId1952" display="http://www.viterbo.edu/" xr:uid="{00000000-0004-0000-0100-00009F070000}"/>
    <hyperlink ref="D1954" r:id="rId1953" display="http://www.voorhees.edu/" xr:uid="{00000000-0004-0000-0100-0000A0070000}"/>
    <hyperlink ref="D1955" r:id="rId1954" display="http://www.wabash.edu/" xr:uid="{00000000-0004-0000-0100-0000A1070000}"/>
    <hyperlink ref="D1956" r:id="rId1955" display="http://www.wagner.edu/" xr:uid="{00000000-0004-0000-0100-0000A2070000}"/>
    <hyperlink ref="D1957" r:id="rId1956" display="http://www.wfu.edu/" xr:uid="{00000000-0004-0000-0100-0000A3070000}"/>
    <hyperlink ref="D1958" r:id="rId1957" display="http://www.waldenu.edu/" xr:uid="{00000000-0004-0000-0100-0000A4070000}"/>
    <hyperlink ref="D1959" r:id="rId1958" display="http://www.wwc.edu/" xr:uid="{00000000-0004-0000-0100-0000A5070000}"/>
    <hyperlink ref="D1960" r:id="rId1959" display="http://www.walshcol.edu/" xr:uid="{00000000-0004-0000-0100-0000A6070000}"/>
    <hyperlink ref="D1961" r:id="rId1960" display="http://www.walsh.edu/" xr:uid="{00000000-0004-0000-0100-0000A7070000}"/>
    <hyperlink ref="D1962" r:id="rId1961" display="http://www.warnerpacific.edu/" xr:uid="{00000000-0004-0000-0100-0000A8070000}"/>
    <hyperlink ref="D1963" r:id="rId1962" display="http://www.warner.edu/" xr:uid="{00000000-0004-0000-0100-0000A9070000}"/>
    <hyperlink ref="D1964" r:id="rId1963" display="http://www.warren-wilson.edu/" xr:uid="{00000000-0004-0000-0100-0000AA070000}"/>
    <hyperlink ref="D1965" r:id="rId1964" display="http://www.wartburg.edu/" xr:uid="{00000000-0004-0000-0100-0000AB070000}"/>
    <hyperlink ref="D1966" r:id="rId1965" display="http://www.washburn.edu/" xr:uid="{00000000-0004-0000-0100-0000AC070000}"/>
    <hyperlink ref="D1967" r:id="rId1966" display="http://www.wlu.edu/" xr:uid="{00000000-0004-0000-0100-0000AD070000}"/>
    <hyperlink ref="D1968" r:id="rId1967" display="http://www.bible.edu/" xr:uid="{00000000-0004-0000-0100-0000AE070000}"/>
    <hyperlink ref="D1969" r:id="rId1968" display="http://www.washcoll.edu/" xr:uid="{00000000-0004-0000-0100-0000AF070000}"/>
    <hyperlink ref="D1970" r:id="rId1969" display="http://www.wsu.edu/" xr:uid="{00000000-0004-0000-0100-0000B0070000}"/>
    <hyperlink ref="E1971" r:id="rId1970" display="http://www.spokane.wsu.edu/" xr:uid="{00000000-0004-0000-0100-0000B1070000}"/>
    <hyperlink ref="E1972" r:id="rId1971" display="http://www.tricity.wsu.edu/" xr:uid="{00000000-0004-0000-0100-0000B2070000}"/>
    <hyperlink ref="E1973" r:id="rId1972" display="http://www.vancouver.wsu.edu/" xr:uid="{00000000-0004-0000-0100-0000B3070000}"/>
    <hyperlink ref="D1974" r:id="rId1973" display="http://www.wustl.edu/" xr:uid="{00000000-0004-0000-0100-0000B4070000}"/>
    <hyperlink ref="D1975" r:id="rId1974" display="http://www.wbu.edu/" xr:uid="{00000000-0004-0000-0100-0000B5070000}"/>
    <hyperlink ref="D1976" r:id="rId1975" display="http://www.waynesburg.edu/" xr:uid="{00000000-0004-0000-0100-0000B6070000}"/>
    <hyperlink ref="D1977" r:id="rId1976" display="http://www.wsc.edu/" xr:uid="{00000000-0004-0000-0100-0000B7070000}"/>
    <hyperlink ref="D1978" r:id="rId1977" display="http://www.wayne.edu/" xr:uid="{00000000-0004-0000-0100-0000B8070000}"/>
    <hyperlink ref="D1979" r:id="rId1978" display="http://www.webber.edu/" xr:uid="{00000000-0004-0000-0100-0000B9070000}"/>
    <hyperlink ref="D1980" r:id="rId1979" display="http://www.webb-institute.edu/" xr:uid="{00000000-0004-0000-0100-0000BA070000}"/>
    <hyperlink ref="D1981" r:id="rId1980" display="http://www.weber.edu/" xr:uid="{00000000-0004-0000-0100-0000BB070000}"/>
    <hyperlink ref="D1982" r:id="rId1981" display="http://www.webster.edu/" xr:uid="{00000000-0004-0000-0100-0000BC070000}"/>
    <hyperlink ref="D1983" r:id="rId1982" display="http://www.webster.edu/jack/" xr:uid="{00000000-0004-0000-0100-0000BD070000}"/>
    <hyperlink ref="D1984" r:id="rId1983" display="http://www.med.cornell.edu/" xr:uid="{00000000-0004-0000-0100-0000BE070000}"/>
    <hyperlink ref="D1985" r:id="rId1984" display="http://www.wellesley.edu/" xr:uid="{00000000-0004-0000-0100-0000BF070000}"/>
    <hyperlink ref="D1986" r:id="rId1985" display="http://www.wells.edu/" xr:uid="{00000000-0004-0000-0100-0000C0070000}"/>
    <hyperlink ref="D1987" r:id="rId1986" display="http://www.wit.edu/" xr:uid="{00000000-0004-0000-0100-0000C1070000}"/>
    <hyperlink ref="D1988" r:id="rId1987" display="http://www.wesleyan-college.edu/" xr:uid="{00000000-0004-0000-0100-0000C2070000}"/>
    <hyperlink ref="D1989" r:id="rId1988" display="http://www.wesleyan.edu/" xr:uid="{00000000-0004-0000-0100-0000C3070000}"/>
    <hyperlink ref="D1990" r:id="rId1989" display="http://www.wesley.edu/" xr:uid="{00000000-0004-0000-0100-0000C4070000}"/>
    <hyperlink ref="D1991" r:id="rId1990" display="http://www.wesleycollege.com/" xr:uid="{00000000-0004-0000-0100-0000C5070000}"/>
    <hyperlink ref="D1992" r:id="rId1991" display="http://www.westbrooku.edu/" xr:uid="{00000000-0004-0000-0100-0000C6070000}"/>
    <hyperlink ref="D1993" r:id="rId1992" display="http://www.wcupa.edu/" xr:uid="{00000000-0004-0000-0100-0000C7070000}"/>
    <hyperlink ref="D1994" r:id="rId1993" display="http://www.westcoastuniversity.com/" xr:uid="{00000000-0004-0000-0100-0000C8070000}"/>
    <hyperlink ref="D1995" r:id="rId1994" display="http://www.wbc.edu/" xr:uid="{00000000-0004-0000-0100-0000C9070000}"/>
    <hyperlink ref="D1996" r:id="rId1995" display="http://www.westernbible.edu/" xr:uid="{00000000-0004-0000-0100-0000CA070000}"/>
    <hyperlink ref="D1997" r:id="rId1996" display="http://www.wcu.edu/" xr:uid="{00000000-0004-0000-0100-0000CB070000}"/>
    <hyperlink ref="D1998" r:id="rId1997" display="http://www.wcsu.ctstateu.edu/" xr:uid="{00000000-0004-0000-0100-0000CC070000}"/>
    <hyperlink ref="D1999" r:id="rId1998" display="http://www.wgu.edu/" xr:uid="{00000000-0004-0000-0100-0000CD070000}"/>
    <hyperlink ref="D2000" r:id="rId1999" display="http://www.wiu.edu/" xr:uid="{00000000-0004-0000-0100-0000CE070000}"/>
    <hyperlink ref="D2001" r:id="rId2000" display="http://www.west.edu/" xr:uid="{00000000-0004-0000-0100-0000CF070000}"/>
    <hyperlink ref="D2002" r:id="rId2001" display="http://www.wku.edu/" xr:uid="{00000000-0004-0000-0100-0000D0070000}"/>
    <hyperlink ref="D2003" r:id="rId2002" display="http://www.wmdc.edu/" xr:uid="{00000000-0004-0000-0100-0000D1070000}"/>
    <hyperlink ref="D2004" r:id="rId2003" display="http://www.wmich.edu/" xr:uid="{00000000-0004-0000-0100-0000D2070000}"/>
    <hyperlink ref="D2005" r:id="rId2004" display="http://www.wnec.edu/" xr:uid="{00000000-0004-0000-0100-0000D3070000}"/>
    <hyperlink ref="D2006" r:id="rId2005" display="http://www.wnmu.edu/" xr:uid="{00000000-0004-0000-0100-0000D4070000}"/>
    <hyperlink ref="D2007" r:id="rId2006" display="http://www.wou.edu/" xr:uid="{00000000-0004-0000-0100-0000D5070000}"/>
    <hyperlink ref="D2008" r:id="rId2007" display="http://www.western.edu/" xr:uid="{00000000-0004-0000-0100-0000D6070000}"/>
    <hyperlink ref="D2009" r:id="rId2008" display="http://www.wschiro.edu/" xr:uid="{00000000-0004-0000-0100-0000D7070000}"/>
    <hyperlink ref="D2010" r:id="rId2009" display="http://www.wsulaw.edu/" xr:uid="{00000000-0004-0000-0100-0000D8070000}"/>
    <hyperlink ref="D2011" r:id="rId2010" display="http://www.wsulaw.edu/" xr:uid="{00000000-0004-0000-0100-0000D9070000}"/>
    <hyperlink ref="D2012" r:id="rId2011" display="http://www.wwu.edu/" xr:uid="{00000000-0004-0000-0100-0000DA070000}"/>
    <hyperlink ref="D2013" r:id="rId2012" display="http://www.wsc.mass.edu/" xr:uid="{00000000-0004-0000-0100-0000DB070000}"/>
    <hyperlink ref="D2014" r:id="rId2013" display="http://www.wlsc.wvnet.edu/" xr:uid="{00000000-0004-0000-0100-0000DC070000}"/>
    <hyperlink ref="D2015" r:id="rId2014" display="http://www.wcmo.edu/" xr:uid="{00000000-0004-0000-0100-0000DD070000}"/>
    <hyperlink ref="D2016" r:id="rId2015" display="http://www.westminster.edu/" xr:uid="{00000000-0004-0000-0100-0000DE070000}"/>
    <hyperlink ref="D2017" r:id="rId2016" display="http://www.wcslc.edu/" xr:uid="{00000000-0004-0000-0100-0000DF070000}"/>
    <hyperlink ref="D2018" r:id="rId2017" display="http://www.westmont.edu/" xr:uid="{00000000-0004-0000-0100-0000E0070000}"/>
    <hyperlink ref="D2019" r:id="rId2018" display="http://www.curf.edu/~wscasseyp/wscn.htm" xr:uid="{00000000-0004-0000-0100-0000E1070000}"/>
    <hyperlink ref="D2020" r:id="rId2019" display="http://www.wtamu.edu/" xr:uid="{00000000-0004-0000-0100-0000E2070000}"/>
    <hyperlink ref="D2021" r:id="rId2020" display="http://www.wvsom.edu/" xr:uid="{00000000-0004-0000-0100-0000E3070000}"/>
    <hyperlink ref="D2022" r:id="rId2021" display="http://www.wvsc.edu/" xr:uid="{00000000-0004-0000-0100-0000E4070000}"/>
    <hyperlink ref="D2023" r:id="rId2022" display="http://www.wvu.edu/" xr:uid="{00000000-0004-0000-0100-0000E5070000}"/>
    <hyperlink ref="D2024" r:id="rId2023" display="http://wvit.wvnet.edu/" xr:uid="{00000000-0004-0000-0100-0000E6070000}"/>
    <hyperlink ref="D2025" r:id="rId2024" display="http://www.wvwc.edu/" xr:uid="{00000000-0004-0000-0100-0000E7070000}"/>
    <hyperlink ref="D2026" r:id="rId2025" display="http://www.westwood.edu/" xr:uid="{00000000-0004-0000-0100-0000E8070000}"/>
    <hyperlink ref="D2027" r:id="rId2026" display="http://www.wheatonma.edu/" xr:uid="{00000000-0004-0000-0100-0000E9070000}"/>
    <hyperlink ref="D2028" r:id="rId2027" display="http://www.wju.edu/" xr:uid="{00000000-0004-0000-0100-0000EA070000}"/>
    <hyperlink ref="D2029" r:id="rId2028" display="http://www.wheelock.edu/" xr:uid="{00000000-0004-0000-0100-0000EB070000}"/>
    <hyperlink ref="D2030" r:id="rId2029" display="http://www.whitman.edu/" xr:uid="{00000000-0004-0000-0100-0000EC070000}"/>
    <hyperlink ref="D2031" r:id="rId2030" display="http://www.whittier.edu/" xr:uid="{00000000-0004-0000-0100-0000ED070000}"/>
    <hyperlink ref="D2032" r:id="rId2031" display="http://www.whitworth.edu/" xr:uid="{00000000-0004-0000-0100-0000EE070000}"/>
    <hyperlink ref="D2033" r:id="rId2032" display="http://www.twsu.edu/" xr:uid="{00000000-0004-0000-0100-0000EF070000}"/>
    <hyperlink ref="D2034" r:id="rId2033" display="http://www.widener.edu/" xr:uid="{00000000-0004-0000-0100-0000F0070000}"/>
    <hyperlink ref="D2035" r:id="rId2034" display="http://www.wilberforce.edu/" xr:uid="{00000000-0004-0000-0100-0000F1070000}"/>
    <hyperlink ref="D2036" r:id="rId2035" display="http://www.ccc.edu/wright/" xr:uid="{00000000-0004-0000-0100-0000F2070000}"/>
    <hyperlink ref="D2037" r:id="rId2036" display="http://www.wileyc.edu/" xr:uid="{00000000-0004-0000-0100-0000F3070000}"/>
    <hyperlink ref="D2038" r:id="rId2037" display="http://www.wilkes.edu/" xr:uid="{00000000-0004-0000-0100-0000F4070000}"/>
    <hyperlink ref="D2039" r:id="rId2038" display="http://www.willamette.edu/" xr:uid="{00000000-0004-0000-0100-0000F5070000}"/>
    <hyperlink ref="D2040" r:id="rId2039" display="http://www.wmcarey.edu/" xr:uid="{00000000-0004-0000-0100-0000F6070000}"/>
    <hyperlink ref="D2041" r:id="rId2040" display="http://www.jewell.edu/" xr:uid="{00000000-0004-0000-0100-0000F7070000}"/>
    <hyperlink ref="D2042" r:id="rId2041" display="http://www.wmitchell.edu/" xr:uid="{00000000-0004-0000-0100-0000F8070000}"/>
    <hyperlink ref="D2043" r:id="rId2042" display="http://www.wpunj.edu/" xr:uid="{00000000-0004-0000-0100-0000F9070000}"/>
    <hyperlink ref="D2044" r:id="rId2043" display="http://www.wmpenn.edu/" xr:uid="{00000000-0004-0000-0100-0000FA070000}"/>
    <hyperlink ref="D2045" r:id="rId2044" display="http://www.wbcoll.edu/" xr:uid="{00000000-0004-0000-0100-0000FB070000}"/>
    <hyperlink ref="D2046" r:id="rId2045" display="http://www.williams.edu/" xr:uid="{00000000-0004-0000-0100-0000FC070000}"/>
    <hyperlink ref="D2047" r:id="rId2046" display="http://www.williamtyndale.edu/" xr:uid="{00000000-0004-0000-0100-0000FD070000}"/>
    <hyperlink ref="D2048" r:id="rId2047" display="http://www.wmwoods.edu/" xr:uid="{00000000-0004-0000-0100-0000FE070000}"/>
    <hyperlink ref="D2049" r:id="rId2048" display="http://www.wilmcoll.edu/" xr:uid="{00000000-0004-0000-0100-0000FF070000}"/>
    <hyperlink ref="D2050" r:id="rId2049" display="http://www.wilmington.edu/" xr:uid="{00000000-0004-0000-0100-000000080000}"/>
    <hyperlink ref="D2051" r:id="rId2050" display="http://www.wilson.edu/" xr:uid="{00000000-0004-0000-0100-000001080000}"/>
    <hyperlink ref="D2052" r:id="rId2051" display="http://www.wingate.edu/" xr:uid="{00000000-0004-0000-0100-000002080000}"/>
    <hyperlink ref="D2053" r:id="rId2052" display="http://www.winona.msus.edu/" xr:uid="{00000000-0004-0000-0100-000003080000}"/>
    <hyperlink ref="D2054" r:id="rId2053" display="http://www.wssu.edu/" xr:uid="{00000000-0004-0000-0100-000004080000}"/>
    <hyperlink ref="D2055" r:id="rId2054" display="http://www.winthrop.edu/" xr:uid="{00000000-0004-0000-0100-000005080000}"/>
    <hyperlink ref="D2056" r:id="rId2055" display="http://www.wlc.edu/" xr:uid="{00000000-0004-0000-0100-000006080000}"/>
    <hyperlink ref="D2057" r:id="rId2056" display="http://www.execpc.com/~wspp/" xr:uid="{00000000-0004-0000-0100-000007080000}"/>
    <hyperlink ref="D2058" r:id="rId2057" display="http://www.wittenberg.edu/" xr:uid="{00000000-0004-0000-0100-000008080000}"/>
    <hyperlink ref="D2059" r:id="rId2058" display="http://www.wofford.edu/" xr:uid="{00000000-0004-0000-0100-000009080000}"/>
    <hyperlink ref="D2060" r:id="rId2059" display="http://www.woodburyu.edu/" xr:uid="{00000000-0004-0000-0100-00000A080000}"/>
    <hyperlink ref="D2061" r:id="rId2060" display="http://www.wpi.edu/" xr:uid="{00000000-0004-0000-0100-00000B080000}"/>
    <hyperlink ref="D2062" r:id="rId2061" display="http://www.worc.mass.edu/" xr:uid="{00000000-0004-0000-0100-00000C080000}"/>
    <hyperlink ref="D2063" r:id="rId2062" display="http://www.wrightinst.edu/" xr:uid="{00000000-0004-0000-0100-00000D080000}"/>
    <hyperlink ref="D2064" r:id="rId2063" display="http://www.wright.edu/" xr:uid="{00000000-0004-0000-0100-00000E080000}"/>
    <hyperlink ref="D2065" r:id="rId2064" display="http://www.xu.edu/" xr:uid="{00000000-0004-0000-0100-00000F080000}"/>
    <hyperlink ref="D2066" r:id="rId2065" display="http://www.xula.edu/" xr:uid="{00000000-0004-0000-0100-000010080000}"/>
    <hyperlink ref="D2067" r:id="rId2066" display="http://www.yale.edu/" xr:uid="{00000000-0004-0000-0100-000011080000}"/>
    <hyperlink ref="D2068" r:id="rId2067" display="http://www.yu.edu/" xr:uid="{00000000-0004-0000-0100-000012080000}"/>
    <hyperlink ref="D2069" r:id="rId2068" display="http://www.york.edu/" xr:uid="{00000000-0004-0000-0100-000013080000}"/>
    <hyperlink ref="D2070" r:id="rId2069" display="http://www.yorkcol.edu/" xr:uid="{00000000-0004-0000-0100-000014080000}"/>
    <hyperlink ref="D2071" r:id="rId2070" display="http://www.nyuniversity.net/" xr:uid="{00000000-0004-0000-0100-000015080000}"/>
    <hyperlink ref="D2072" r:id="rId2071" display="http://www.yorkuniversity.us/" xr:uid="{00000000-0004-0000-0100-000016080000}"/>
    <hyperlink ref="D2073" r:id="rId2072" display="http://www.ysu.edu/" xr:uid="{00000000-0004-0000-0100-00001708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Univeristies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Ambekar</cp:lastModifiedBy>
  <dcterms:created xsi:type="dcterms:W3CDTF">2020-08-02T00:36:35Z</dcterms:created>
  <dcterms:modified xsi:type="dcterms:W3CDTF">2020-08-02T00:37:56Z</dcterms:modified>
</cp:coreProperties>
</file>