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mc:AlternateContent xmlns:mc="http://schemas.openxmlformats.org/markup-compatibility/2006">
    <mc:Choice Requires="x15">
      <x15ac:absPath xmlns:x15ac="http://schemas.microsoft.com/office/spreadsheetml/2010/11/ac" url="/Users/siddhantsingh/Library/CloudStorage/OneDrive-ImperialCollegeLondon/DoC Secret Revision Folder/Second Year/Networks and Communications/"/>
    </mc:Choice>
  </mc:AlternateContent>
  <xr:revisionPtr revIDLastSave="12" documentId="13_ncr:1_{5F17C423-8F33-1A47-B042-E19C247A968B}" xr6:coauthVersionLast="47" xr6:coauthVersionMax="47" xr10:uidLastSave="{818DE248-2F14-440D-80E6-4C33FE55130C}"/>
  <bookViews>
    <workbookView xWindow="0" yWindow="500" windowWidth="38400" windowHeight="19560" activeTab="3" xr2:uid="{00000000-000D-0000-FFFF-FFFF00000000}"/>
  </bookViews>
  <sheets>
    <sheet name="Protocols" sheetId="1" r:id="rId1"/>
    <sheet name="Linux Commands" sheetId="2" r:id="rId2"/>
    <sheet name="Transmission Calculation" sheetId="3" r:id="rId3"/>
    <sheet name="Congestion" sheetId="4" r:id="rId4"/>
    <sheet name="Units" sheetId="5" r:id="rId5"/>
    <sheet name="External" sheetId="6" r:id="rId6"/>
    <sheet name="Misc"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5" l="1"/>
  <c r="C45" i="5"/>
  <c r="C44" i="5"/>
  <c r="D43" i="5"/>
  <c r="D44" i="5" s="1"/>
  <c r="D45" i="5" s="1"/>
  <c r="D46" i="5" s="1"/>
  <c r="C43" i="5"/>
  <c r="C42" i="5"/>
  <c r="C37" i="5"/>
  <c r="C36" i="5"/>
  <c r="C35" i="5"/>
  <c r="C34" i="5"/>
  <c r="C33" i="5"/>
  <c r="C32" i="5"/>
  <c r="C31" i="5"/>
  <c r="H18" i="5"/>
  <c r="G18" i="5"/>
  <c r="H14" i="5"/>
  <c r="G14" i="5"/>
  <c r="C13" i="5"/>
  <c r="C12" i="5"/>
  <c r="C11" i="5"/>
  <c r="M10" i="5"/>
  <c r="H10" i="5"/>
  <c r="G10" i="5"/>
  <c r="C10" i="5"/>
  <c r="D9" i="5"/>
  <c r="C9" i="5"/>
  <c r="C8" i="5"/>
  <c r="C7" i="5"/>
  <c r="C6" i="5"/>
  <c r="D5" i="5"/>
  <c r="C5" i="5"/>
  <c r="H4" i="5"/>
  <c r="G4" i="5"/>
  <c r="C4" i="5"/>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N5" i="4"/>
  <c r="P5" i="4" s="1"/>
  <c r="F5" i="4"/>
  <c r="G46" i="3"/>
  <c r="F46" i="3"/>
  <c r="G44" i="3"/>
  <c r="F44" i="3"/>
  <c r="C44" i="3"/>
  <c r="G43" i="3"/>
  <c r="F43" i="3"/>
  <c r="C43" i="3"/>
  <c r="D9" i="3"/>
  <c r="C9" i="3"/>
  <c r="G7" i="3"/>
  <c r="F7" i="3"/>
  <c r="E7" i="3"/>
  <c r="D7" i="3"/>
  <c r="C7" i="3"/>
  <c r="G6" i="3"/>
  <c r="F6" i="3"/>
  <c r="E6" i="3"/>
  <c r="D6" i="3"/>
  <c r="C6" i="3"/>
  <c r="J10" i="5" l="1" a="1"/>
  <c r="J10" i="5" s="1"/>
  <c r="J4" i="5" a="1"/>
  <c r="J4" i="5" s="1"/>
  <c r="J18" i="5" a="1"/>
  <c r="J18" i="5" s="1"/>
  <c r="J14" i="5" a="1"/>
  <c r="J14" i="5" s="1"/>
  <c r="C10" i="3"/>
  <c r="D10" i="3"/>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D10" i="5"/>
  <c r="D6" i="5"/>
  <c r="P8" i="4" l="1"/>
  <c r="P11" i="4"/>
  <c r="D11" i="5"/>
  <c r="D7" i="5"/>
  <c r="E8" i="3" a="1"/>
  <c r="E8" i="3" s="1"/>
  <c r="P37" i="4"/>
  <c r="P36" i="4"/>
  <c r="P35" i="4"/>
  <c r="P34" i="4"/>
  <c r="P33" i="4"/>
  <c r="P32" i="4"/>
  <c r="P31" i="4"/>
  <c r="P30" i="4"/>
  <c r="P29" i="4"/>
  <c r="P28" i="4"/>
  <c r="P27" i="4"/>
  <c r="P26" i="4"/>
  <c r="P25" i="4"/>
  <c r="P24" i="4"/>
  <c r="P23" i="4"/>
  <c r="P22" i="4"/>
  <c r="P21" i="4"/>
  <c r="P20" i="4"/>
  <c r="P19" i="4"/>
  <c r="P18" i="4"/>
  <c r="P17" i="4"/>
  <c r="P16" i="4"/>
  <c r="P15" i="4"/>
  <c r="P14" i="4"/>
  <c r="P13" i="4"/>
  <c r="P12" i="4"/>
  <c r="P10" i="4"/>
  <c r="P9" i="4"/>
  <c r="P7" i="4"/>
  <c r="P6" i="4"/>
  <c r="F9" i="3" l="1"/>
  <c r="E9" i="3"/>
  <c r="D12" i="5"/>
  <c r="G8" i="3" s="1" a="1"/>
  <c r="G8" i="3" s="1"/>
  <c r="G9" i="3" s="1"/>
  <c r="D8" i="5"/>
  <c r="D13" i="5" s="1"/>
  <c r="G16" i="3" l="1"/>
  <c r="G18" i="3" s="1"/>
  <c r="G14" i="3"/>
  <c r="G10" i="3"/>
  <c r="D16" i="3"/>
  <c r="D14" i="3"/>
  <c r="E16" i="3"/>
  <c r="E18" i="3" s="1"/>
  <c r="E14" i="3"/>
  <c r="E10" i="3"/>
  <c r="F16" i="3"/>
  <c r="F18" i="3" s="1"/>
  <c r="F14" i="3"/>
  <c r="G15" i="3" s="1"/>
  <c r="F10" i="3"/>
  <c r="C16" i="3"/>
  <c r="C18" i="3" s="1"/>
  <c r="C14" i="3"/>
  <c r="D15" i="3" l="1"/>
  <c r="C15" i="3"/>
  <c r="G22" i="3"/>
  <c r="G24" i="3" s="1"/>
  <c r="G20" i="3"/>
  <c r="G17" i="3"/>
  <c r="F15" i="3"/>
  <c r="E15" i="3"/>
  <c r="E22" i="3" l="1"/>
  <c r="E24" i="3" s="1"/>
  <c r="E20" i="3"/>
  <c r="E17" i="3"/>
  <c r="F22" i="3"/>
  <c r="F24" i="3" s="1"/>
  <c r="F20" i="3"/>
  <c r="G21" i="3" s="1"/>
  <c r="F17" i="3"/>
  <c r="C22" i="3"/>
  <c r="C20" i="3"/>
  <c r="C17" i="3"/>
  <c r="D22" i="3"/>
  <c r="D24" i="3" s="1"/>
  <c r="D20" i="3"/>
  <c r="D17" i="3"/>
  <c r="D18" i="3" s="1"/>
  <c r="E21" i="3" l="1"/>
  <c r="E26" i="3" s="1"/>
  <c r="D21" i="3"/>
  <c r="C21" i="3"/>
  <c r="G28" i="3"/>
  <c r="G30" i="3" s="1"/>
  <c r="G26" i="3"/>
  <c r="G23" i="3"/>
  <c r="F21" i="3"/>
  <c r="E28" i="3" l="1"/>
  <c r="E30" i="3" s="1"/>
  <c r="E23" i="3"/>
  <c r="F28" i="3"/>
  <c r="F30" i="3" s="1"/>
  <c r="F26" i="3"/>
  <c r="G27" i="3" s="1"/>
  <c r="F23" i="3"/>
  <c r="C28" i="3"/>
  <c r="C30" i="3" s="1"/>
  <c r="C26" i="3"/>
  <c r="C23" i="3"/>
  <c r="C24" i="3" s="1"/>
  <c r="D28" i="3"/>
  <c r="D30" i="3" s="1"/>
  <c r="D26" i="3"/>
  <c r="E27" i="3" s="1"/>
  <c r="D23" i="3"/>
  <c r="F27" i="3"/>
  <c r="F34" i="3" l="1"/>
  <c r="F36" i="3" s="1"/>
  <c r="F32" i="3"/>
  <c r="F29" i="3"/>
  <c r="E34" i="3"/>
  <c r="E36" i="3" s="1"/>
  <c r="E32" i="3"/>
  <c r="E29" i="3"/>
  <c r="D27" i="3"/>
  <c r="C27" i="3"/>
  <c r="G34" i="3"/>
  <c r="G36" i="3" s="1"/>
  <c r="G32" i="3"/>
  <c r="G29" i="3"/>
  <c r="F33" i="3" l="1"/>
  <c r="F35" i="3" s="1"/>
  <c r="C34" i="3"/>
  <c r="C36" i="3" s="1"/>
  <c r="C32" i="3"/>
  <c r="C29" i="3"/>
  <c r="D34" i="3"/>
  <c r="D36" i="3" s="1"/>
  <c r="D32" i="3"/>
  <c r="C41" i="3" s="1"/>
  <c r="D29" i="3"/>
  <c r="G33" i="3"/>
  <c r="G35" i="3" s="1"/>
  <c r="C46" i="3" l="1"/>
  <c r="E33" i="3"/>
  <c r="E35" i="3" s="1"/>
  <c r="D42" i="3"/>
  <c r="C42" i="3" s="1"/>
  <c r="D33" i="3"/>
  <c r="D35" i="3" s="1"/>
  <c r="C33" i="3"/>
  <c r="C35" i="3" s="1"/>
</calcChain>
</file>

<file path=xl/sharedStrings.xml><?xml version="1.0" encoding="utf-8"?>
<sst xmlns="http://schemas.openxmlformats.org/spreadsheetml/2006/main" count="365" uniqueCount="272">
  <si>
    <t>Initials</t>
  </si>
  <si>
    <t>Protocol name</t>
  </si>
  <si>
    <t>Layer</t>
  </si>
  <si>
    <t>Description</t>
  </si>
  <si>
    <t>DNS</t>
  </si>
  <si>
    <t>Domain Name System Protocol</t>
  </si>
  <si>
    <t>hierarchical and decentralized naming system for computers, services, or other resources connected to the Internet or a private network.</t>
  </si>
  <si>
    <t>FTP</t>
  </si>
  <si>
    <t>File Transfer Protocol</t>
  </si>
  <si>
    <t>standard communication protocol used for the transfer of computer files from a server to a client on a computer network</t>
  </si>
  <si>
    <t>HTTP</t>
  </si>
  <si>
    <t>Hypertext transfer protocol</t>
  </si>
  <si>
    <t>foundation of data communication for the World Wide Web, where hypertext documents include hyperlinks to other resources that the user can easily access</t>
  </si>
  <si>
    <t>HTTPS</t>
  </si>
  <si>
    <t>Hypertext transfer protocol Secure</t>
  </si>
  <si>
    <t>IMAP</t>
  </si>
  <si>
    <t>Internet Message Access Protocol</t>
  </si>
  <si>
    <t xml:space="preserve"> Internet standard protocol used by email clients to retrieve email messages from a mail server over a TCP/IP connection.</t>
  </si>
  <si>
    <t>POP3</t>
  </si>
  <si>
    <t>Post Office Protocol 3</t>
  </si>
  <si>
    <t>standard protocol for receiving e-mail. POP3 is a client/server protocol in which e-mail is received and held for you by your Internet server.</t>
  </si>
  <si>
    <t>SMTP</t>
  </si>
  <si>
    <t>Simple Mail Transfer Protocol</t>
  </si>
  <si>
    <t xml:space="preserve">Mail servers and other message transfer agents use SMTP to send and receive mail messages. </t>
  </si>
  <si>
    <t>SSH</t>
  </si>
  <si>
    <t>Secure Shell Protocol</t>
  </si>
  <si>
    <t>cryptographic network protocol for operating network services securely over an unsecured network.</t>
  </si>
  <si>
    <t>QUIC</t>
  </si>
  <si>
    <t>Quick UDP Internet Connections</t>
  </si>
  <si>
    <t>some shit google developed to replace TCP as the standard for connecting to websites</t>
  </si>
  <si>
    <t>TCP</t>
  </si>
  <si>
    <t>Transmission Control Protocol</t>
  </si>
  <si>
    <t xml:space="preserve">TCP provides reliable, ordered, and error-checked delivery of a stream of octets (bytes) between applications running on hosts communicating via an IP network. </t>
  </si>
  <si>
    <t>UDP</t>
  </si>
  <si>
    <t>User datagram protocol</t>
  </si>
  <si>
    <t>low-latency and loss-tolerating connections between applications on the internet.</t>
  </si>
  <si>
    <t>BGP</t>
  </si>
  <si>
    <t>Border Gateway Protocol</t>
  </si>
  <si>
    <t>gateway protocol designed to exchange routing and reachability information between autonomous systems (AS) on the Internet.</t>
  </si>
  <si>
    <t>DHCP</t>
  </si>
  <si>
    <t>Dynamic Host Configuration Protocol</t>
  </si>
  <si>
    <t>Allows networked devices to receive an IP address</t>
  </si>
  <si>
    <t>ICMP</t>
  </si>
  <si>
    <t>Internet Control Message Protocols</t>
  </si>
  <si>
    <t xml:space="preserve">Used by ping. encapsulates control messages in IP packets. </t>
  </si>
  <si>
    <t>IP</t>
  </si>
  <si>
    <t>Internet Protocol</t>
  </si>
  <si>
    <t>relaying datagrams across network boundaries.</t>
  </si>
  <si>
    <t>OSPF</t>
  </si>
  <si>
    <t>Open Shortest Path First</t>
  </si>
  <si>
    <t>It uses a link state routing (LSR) algorithm and falls into the group of interior gateway protocols (IGPs), operating within a single autonomous system (AS).</t>
  </si>
  <si>
    <t>RIP</t>
  </si>
  <si>
    <t>Routing Information Protocol</t>
  </si>
  <si>
    <t>distance-vector routing protocols which employs the hop count as a routing metric. RIP prevents routing loops by implementing a limit on the number of hops allowed in a path from source to destination.</t>
  </si>
  <si>
    <t>ALOHA</t>
  </si>
  <si>
    <t>ALOHA random access</t>
  </si>
  <si>
    <t>1. When station has frame to be transmitted, just sent it 2. When collisions occurs, stations waits random amount of time and retries</t>
  </si>
  <si>
    <t>ARP</t>
  </si>
  <si>
    <t>Address Resolution Protocol</t>
  </si>
  <si>
    <t>used to discover network addresses</t>
  </si>
  <si>
    <t>CSMA</t>
  </si>
  <si>
    <t>Carrier Sense Multiple Access</t>
  </si>
  <si>
    <t>transmission is allowed only when channel is idle</t>
  </si>
  <si>
    <t>CSMA/CA</t>
  </si>
  <si>
    <t>Collision Avoidance</t>
  </si>
  <si>
    <t>WiFi (IEEE 802.11)</t>
  </si>
  <si>
    <t>CSMA/CD</t>
  </si>
  <si>
    <t>Collision Detection</t>
  </si>
  <si>
    <t>Ethernet (IEEE 802.3) ▪ Station senses channel while transmitting to know that its frame is OK ▪ Transmission stops as soon as collision occurs ▪ Add jamming signal to create agreement about collision. Binary Exponential Back-off</t>
  </si>
  <si>
    <t>IEEE 802.11</t>
  </si>
  <si>
    <t>NOT A PROTOCOL</t>
  </si>
  <si>
    <t>local area network (LAN) technical standards, it describes a family of protocols</t>
  </si>
  <si>
    <t>slotted-ALOHA</t>
  </si>
  <si>
    <t>Only specific times (slots) when stations may transmit. ▪reduces vulnerable period</t>
  </si>
  <si>
    <t>WPA2</t>
  </si>
  <si>
    <t>Wi-Fi Protected Access</t>
  </si>
  <si>
    <t>WPA2 is an updated version of WPA that uses AES encryption and long passwords to create a secured network.</t>
  </si>
  <si>
    <t>Devices</t>
  </si>
  <si>
    <t>Router</t>
  </si>
  <si>
    <t xml:space="preserve">A router is a networking device that forwards data packets between computer networks. Uses IP address to redirect traffic. </t>
  </si>
  <si>
    <t>Switch</t>
  </si>
  <si>
    <t>A network switch is a multiport network bridge that uses MAC addresses to forward data at the data link layer (layer 2) of the OSI model.</t>
  </si>
  <si>
    <t>Bridges</t>
  </si>
  <si>
    <t>creates a single, aggregate network from multiple communication networks or network segments.</t>
  </si>
  <si>
    <t>Access Point</t>
  </si>
  <si>
    <t>allows other Wi-Fi devices to connect to a wired network</t>
  </si>
  <si>
    <t>Cables</t>
  </si>
  <si>
    <t>Straight-through ▪ Used to communicate between devices of different OSI Layers ▪ e.g. switch to router 
Crossover ▪ Used to communicate between devices of the same OSI Layer ▪ e.g. switch to switch
Rollover ▪ Used to directly tap into a networking device</t>
  </si>
  <si>
    <t>Hub</t>
  </si>
  <si>
    <t>connects multiple PCs to a single network - when a packet arrives at a hub, it is copied to various other ports</t>
  </si>
  <si>
    <t>Command</t>
  </si>
  <si>
    <t>ping example.com</t>
  </si>
  <si>
    <t>Gets RTT to example.com</t>
  </si>
  <si>
    <t>traceroute example.com</t>
  </si>
  <si>
    <t>Number of hops to example.com</t>
  </si>
  <si>
    <t>host example.com</t>
  </si>
  <si>
    <t>Gets the IP of example.com</t>
  </si>
  <si>
    <t>dig &lt;MX, NS&gt; example.com</t>
  </si>
  <si>
    <t>Queries the DNS nameserver and returns A records by default. If MX flag is specified, gets mail servers for example.com. NS flag gets authoritative name servers.</t>
  </si>
  <si>
    <t>Dig @ns0.ic.ac.uk imperial.ac.uk</t>
  </si>
  <si>
    <t>Asks the authoritative DNS for a reply</t>
  </si>
  <si>
    <t>nslookup &lt;-type={MX, NS, SOA}&gt; example.com</t>
  </si>
  <si>
    <t>Gets DNS name servers for example.com.
Gets mail servers for example.com if MX flag is specified. NS flag tells us the address of the authoritative DNS server. SOA flag gives more information such as serial number and refresh time etc.</t>
  </si>
  <si>
    <t>nslookup www.imperial.ac.uk ns0.ic.ac.uk</t>
  </si>
  <si>
    <r>
      <rPr>
        <sz val="11"/>
        <color rgb="FF000000"/>
        <rFont val="&quot;Helvetica Neue&quot;, sans-serif"/>
      </rPr>
      <t>telnet example.com &lt;</t>
    </r>
    <r>
      <rPr>
        <u/>
        <sz val="11"/>
        <color rgb="FF1155CC"/>
        <rFont val="&quot;Helvetica Neue&quot;, sans-serif"/>
      </rPr>
      <t>port.no</t>
    </r>
    <r>
      <rPr>
        <sz val="11"/>
        <color rgb="FF000000"/>
        <rFont val="&quot;Helvetica Neue&quot;, sans-serif"/>
      </rPr>
      <t>&gt;</t>
    </r>
  </si>
  <si>
    <t>Connect to server</t>
  </si>
  <si>
    <t>(sudo) hostname (some name)</t>
  </si>
  <si>
    <t>Returns hostname or sets hostname if ‘sudo _ name’</t>
  </si>
  <si>
    <t>ssh example.com</t>
  </si>
  <si>
    <t>Sets up a secure tunnel to example.com</t>
  </si>
  <si>
    <t>nload &lt;-a period&gt;</t>
  </si>
  <si>
    <t>Visualises incoming/outgoing traffic to show network usage (‘-a period’ calculates average over ‘period’ seconds)</t>
  </si>
  <si>
    <t>ipconfig(windows)/ifconfig(linux)</t>
  </si>
  <si>
    <t>Gives information about IP addresses for your current network. Can also give you MTU size</t>
  </si>
  <si>
    <t>ftp &lt;‘address’&gt;</t>
  </si>
  <si>
    <t>Connects to ftp server with ip ‘address’</t>
  </si>
  <si>
    <t>iptables &lt;flags&gt;</t>
  </si>
  <si>
    <t>Allows sysadmin to configure ip packet filter rules of the firewall</t>
  </si>
  <si>
    <t>arp who has host_ip tell router_ip (router mac)</t>
  </si>
  <si>
    <t>asks each host on LAN if they have the request IP.</t>
  </si>
  <si>
    <t>arp -a</t>
  </si>
  <si>
    <t>Display ARP table</t>
  </si>
  <si>
    <t>netstat &lt;-at/-au&gt; &lt;-r&gt;</t>
  </si>
  <si>
    <t>Lists all active connections, (routing table information with -r flag, only tcp/udp connections with -at &amp; -au flags respectively)</t>
  </si>
  <si>
    <t>nmap &lt;-sn&gt; &lt;xxxx.xxxx.xxxx.xxxx/mask&gt;
nmap &lt;-p&gt; &lt;x - y&gt; &lt;xxxx.xxxx.xxxx.xxxx&gt;</t>
  </si>
  <si>
    <t>Quick nmap scan on network (doesn’t check ports)
Scans ports on host in range x-y.</t>
  </si>
  <si>
    <t>tcpdump</t>
  </si>
  <si>
    <t>display TCP/IP and other packets being transmitted or received over a network to which the computer is attached.</t>
  </si>
  <si>
    <t>tcpd</t>
  </si>
  <si>
    <t>Daemon controlling access to Unix services
Consults two files: /etc/hosts.allow and /etc/hosts.deny</t>
  </si>
  <si>
    <t>d = t1 – t0</t>
  </si>
  <si>
    <t>L / R = t2 - t1</t>
  </si>
  <si>
    <t>R = L / (t2 – t1)</t>
  </si>
  <si>
    <t>Δ = t2 - t1</t>
  </si>
  <si>
    <t>L</t>
  </si>
  <si>
    <t>Latency (propagation delay)</t>
  </si>
  <si>
    <t>Packetization (transmission delay) (store-and-forward delay)</t>
  </si>
  <si>
    <t>Throughput (link bandwidth)</t>
  </si>
  <si>
    <t>Transfer time</t>
  </si>
  <si>
    <t>Message Size</t>
  </si>
  <si>
    <t>Unit</t>
  </si>
  <si>
    <t>s</t>
  </si>
  <si>
    <t>bps</t>
  </si>
  <si>
    <t>b</t>
  </si>
  <si>
    <t>INPUT (with units)</t>
  </si>
  <si>
    <t>2Mbps</t>
  </si>
  <si>
    <t>4182s</t>
  </si>
  <si>
    <t>1GB</t>
  </si>
  <si>
    <t>Value Number</t>
  </si>
  <si>
    <t>Value Units</t>
  </si>
  <si>
    <t>Value Normalised</t>
  </si>
  <si>
    <t/>
  </si>
  <si>
    <t>HASVALUE</t>
  </si>
  <si>
    <t>Normalised</t>
  </si>
  <si>
    <t>Value</t>
  </si>
  <si>
    <t>Formula</t>
  </si>
  <si>
    <t>Output 1</t>
  </si>
  <si>
    <t>Justification</t>
  </si>
  <si>
    <t>Output 2</t>
  </si>
  <si>
    <t>Output 3</t>
  </si>
  <si>
    <t>Output 4</t>
  </si>
  <si>
    <t>Utilisation Calculator</t>
  </si>
  <si>
    <t>U = (L/R) / (RTT + L / R)</t>
  </si>
  <si>
    <t>Packetization (s)</t>
  </si>
  <si>
    <t>c = f λ</t>
  </si>
  <si>
    <t>Wavelength (m)</t>
  </si>
  <si>
    <t>Frequency (Hz)</t>
  </si>
  <si>
    <t>RTT (with units) (≈2d)</t>
  </si>
  <si>
    <t>1136.68 m</t>
  </si>
  <si>
    <t>RTT value</t>
  </si>
  <si>
    <t>RTT unit</t>
  </si>
  <si>
    <t>RTT (s)</t>
  </si>
  <si>
    <t>Utilisation</t>
  </si>
  <si>
    <t>Result</t>
  </si>
  <si>
    <t>MSS (B)</t>
  </si>
  <si>
    <t>Slow Start</t>
  </si>
  <si>
    <t>Additive-Increase / Multiplicative-Decrease</t>
  </si>
  <si>
    <t>ssthresh (B)</t>
  </si>
  <si>
    <t>Step #</t>
  </si>
  <si>
    <t>CWND Size (B)</t>
  </si>
  <si>
    <t>Congestion Protocol</t>
  </si>
  <si>
    <t>Data</t>
  </si>
  <si>
    <t>W (B)</t>
  </si>
  <si>
    <t>Acknowledgment</t>
  </si>
  <si>
    <t>Data (End with \)</t>
  </si>
  <si>
    <t>ABCDE\</t>
  </si>
  <si>
    <t>SS</t>
  </si>
  <si>
    <t>a83b5d97\</t>
  </si>
  <si>
    <t>Good</t>
  </si>
  <si>
    <t>Loss</t>
  </si>
  <si>
    <t>(Too lazy to do fast recovery)</t>
  </si>
  <si>
    <t>Conversion to bits</t>
  </si>
  <si>
    <t>Per second</t>
  </si>
  <si>
    <t>number of bits</t>
  </si>
  <si>
    <t>Data (With units)</t>
  </si>
  <si>
    <t>unit</t>
  </si>
  <si>
    <t>Result Unit</t>
  </si>
  <si>
    <t>Total Time in Seconds</t>
  </si>
  <si>
    <t>20798.4b</t>
  </si>
  <si>
    <t>B</t>
  </si>
  <si>
    <t>Kb</t>
  </si>
  <si>
    <t>minute</t>
  </si>
  <si>
    <t>Mb</t>
  </si>
  <si>
    <t>hour</t>
  </si>
  <si>
    <t>Gb</t>
  </si>
  <si>
    <t>day</t>
  </si>
  <si>
    <t>Tb</t>
  </si>
  <si>
    <t>week</t>
  </si>
  <si>
    <t>Time (With units)</t>
  </si>
  <si>
    <t>year</t>
  </si>
  <si>
    <t>KB</t>
  </si>
  <si>
    <t>140ms</t>
  </si>
  <si>
    <t>Total (s)</t>
  </si>
  <si>
    <t>MB</t>
  </si>
  <si>
    <t>GB</t>
  </si>
  <si>
    <t>TB</t>
  </si>
  <si>
    <t>Distance (With units)</t>
  </si>
  <si>
    <t>1.2km</t>
  </si>
  <si>
    <t>m</t>
  </si>
  <si>
    <t>Conversion to seconds</t>
  </si>
  <si>
    <t>ns</t>
  </si>
  <si>
    <t>Frequency (With units)</t>
  </si>
  <si>
    <t>us</t>
  </si>
  <si>
    <t>2600401.502 Hz</t>
  </si>
  <si>
    <t>KHz</t>
  </si>
  <si>
    <t>ms</t>
  </si>
  <si>
    <t>Coversion to meters</t>
  </si>
  <si>
    <t>Distance</t>
  </si>
  <si>
    <t>speed</t>
  </si>
  <si>
    <t>number of meters</t>
  </si>
  <si>
    <t>nm</t>
  </si>
  <si>
    <t>um</t>
  </si>
  <si>
    <t>mm</t>
  </si>
  <si>
    <t>cm</t>
  </si>
  <si>
    <t>dm</t>
  </si>
  <si>
    <t>km</t>
  </si>
  <si>
    <t>Conversion to Hertz</t>
  </si>
  <si>
    <t>Hz</t>
  </si>
  <si>
    <t>MHz</t>
  </si>
  <si>
    <t>GHz</t>
  </si>
  <si>
    <t>THz</t>
  </si>
  <si>
    <t>Subnet</t>
  </si>
  <si>
    <t>https://www.site24x7.com/tools/ipv4-subnetcalculator.html</t>
  </si>
  <si>
    <t>https://www.browserling.com/tools/ip-to-bin</t>
  </si>
  <si>
    <t>https://www.subnet-calculator.com/cidr.php</t>
  </si>
  <si>
    <t>Diffie–Hellman</t>
  </si>
  <si>
    <t>https://www.irongeek.com/diffie-hellman.php</t>
  </si>
  <si>
    <t>Fragmentation</t>
  </si>
  <si>
    <t>http://fixmycode.github.io/IPFCalc/</t>
  </si>
  <si>
    <t>https://en.wikipedia.org/wiki/User_Datagram_Protocol</t>
  </si>
  <si>
    <t>Ceaser</t>
  </si>
  <si>
    <t>https://www.dcode.fr/caesar-cipher</t>
  </si>
  <si>
    <t>https://cryptii.com/pipes/caesar-cipher</t>
  </si>
  <si>
    <t>IPv4</t>
  </si>
  <si>
    <t>https://en.wikipedia.org/wiki/IPv4#Header</t>
  </si>
  <si>
    <t>IPv6</t>
  </si>
  <si>
    <t>https://en.wikipedia.org/wiki/IPv6_packet#Fixed_header</t>
  </si>
  <si>
    <t>Ethernet Frame</t>
  </si>
  <si>
    <t>https://en.wikipedia.org/wiki/Ethernet_frame#Structure</t>
  </si>
  <si>
    <t>Distance Vector Routing</t>
  </si>
  <si>
    <t>Link State Routing</t>
  </si>
  <si>
    <t>Broadcast Routing</t>
  </si>
  <si>
    <t xml:space="preserve">Network Knowledge </t>
  </si>
  <si>
    <t>Local</t>
  </si>
  <si>
    <t>Global</t>
  </si>
  <si>
    <t>Reverse-path Forwarding (RPF) broadcast</t>
  </si>
  <si>
    <t>Computation</t>
  </si>
  <si>
    <t>very router forwards/broadcasts a packet to every adjacent router, except where it came from</t>
  </si>
  <si>
    <t>Synchronisation</t>
  </si>
  <si>
    <t>Gradual</t>
  </si>
  <si>
    <t>“Instant“ (after SPR calculation)</t>
  </si>
  <si>
    <t>routers accept broadcast packet p originating at router A, only if p arrives on a link that is on a direct (unicast) path between themselves and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</si>
</sst>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color rgb="FFFF0000"/>
      <name val="Arial"/>
    </font>
    <font>
      <b/>
      <sz val="11"/>
      <color rgb="FF000000"/>
      <name val="&quot;Helvetica Neue&quot;"/>
    </font>
    <font>
      <sz val="10"/>
      <color theme="1"/>
      <name val="Arial"/>
    </font>
    <font>
      <sz val="10"/>
      <color rgb="FF000000"/>
      <name val="Arial"/>
    </font>
    <font>
      <sz val="10"/>
      <color rgb="FF202124"/>
      <name val="Arial"/>
    </font>
    <font>
      <sz val="10"/>
      <color rgb="FF202122"/>
      <name val="Sans-serif"/>
    </font>
    <font>
      <b/>
      <sz val="10"/>
      <color theme="1"/>
      <name val="Arial"/>
    </font>
    <font>
      <sz val="11"/>
      <color rgb="FF202122"/>
      <name val="Arial"/>
    </font>
    <font>
      <u/>
      <sz val="11"/>
      <color rgb="FF202122"/>
      <name val="Sans-serif"/>
    </font>
    <font>
      <sz val="11"/>
      <color rgb="FF000000"/>
      <name val="&quot;Helvetica Neue&quot;"/>
    </font>
    <font>
      <u/>
      <sz val="11"/>
      <color rgb="FF000000"/>
      <name val="&quot;Helvetica Neue&quot;"/>
    </font>
    <font>
      <sz val="10"/>
      <color rgb="FFB7B7B7"/>
      <name val="Arial"/>
    </font>
    <font>
      <sz val="10"/>
      <name val="Arial"/>
    </font>
    <font>
      <sz val="11"/>
      <color rgb="FF000000"/>
      <name val="Inconsolata"/>
    </font>
    <font>
      <b/>
      <sz val="10"/>
      <color rgb="FF000000"/>
      <name val="Arial"/>
    </font>
    <font>
      <u/>
      <sz val="10"/>
      <color rgb="FF0000FF"/>
      <name val="Arial"/>
    </font>
    <font>
      <u/>
      <sz val="10"/>
      <color rgb="FF1155CC"/>
      <name val="Arial"/>
    </font>
    <font>
      <sz val="11"/>
      <color rgb="FF000000"/>
      <name val="&quot;Helvetica Neue&quot;, sans-serif"/>
    </font>
    <font>
      <u/>
      <sz val="11"/>
      <color rgb="FF1155CC"/>
      <name val="&quot;Helvetica Neue&quot;, sans-serif"/>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horizontal="left" wrapText="1"/>
    </xf>
    <xf numFmtId="0" fontId="3" fillId="0" borderId="0" xfId="0" applyFont="1"/>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xf numFmtId="0" fontId="7" fillId="0" borderId="0" xfId="0" applyFont="1"/>
    <xf numFmtId="0" fontId="8" fillId="2" borderId="0" xfId="0" applyFont="1" applyFill="1"/>
    <xf numFmtId="0" fontId="9" fillId="2" borderId="0" xfId="0" applyFont="1" applyFill="1"/>
    <xf numFmtId="0" fontId="10" fillId="0" borderId="0" xfId="0" applyFont="1" applyAlignment="1">
      <alignment horizontal="left" wrapText="1"/>
    </xf>
    <xf numFmtId="0" fontId="11" fillId="0" borderId="0" xfId="0" applyFont="1" applyAlignment="1">
      <alignment horizontal="left" wrapText="1"/>
    </xf>
    <xf numFmtId="0" fontId="3" fillId="0" borderId="1" xfId="0" applyFont="1" applyBorder="1"/>
    <xf numFmtId="0" fontId="3" fillId="0" borderId="2" xfId="0" applyFont="1" applyBorder="1"/>
    <xf numFmtId="0" fontId="3" fillId="0" borderId="3" xfId="0" applyFont="1" applyBorder="1"/>
    <xf numFmtId="0" fontId="7" fillId="0" borderId="4" xfId="0" applyFont="1" applyBorder="1"/>
    <xf numFmtId="0" fontId="7" fillId="0" borderId="5" xfId="0" applyFont="1" applyBorder="1"/>
    <xf numFmtId="0" fontId="4" fillId="2" borderId="4" xfId="0" applyFont="1" applyFill="1" applyBorder="1" applyAlignment="1">
      <alignment horizontal="left"/>
    </xf>
    <xf numFmtId="0" fontId="3" fillId="0" borderId="5" xfId="0" applyFont="1" applyBorder="1"/>
    <xf numFmtId="0" fontId="3" fillId="0" borderId="4" xfId="0" applyFont="1" applyBorder="1"/>
    <xf numFmtId="0" fontId="3" fillId="2" borderId="0" xfId="0" applyFont="1" applyFill="1"/>
    <xf numFmtId="0" fontId="3" fillId="2" borderId="5" xfId="0" applyFont="1" applyFill="1" applyBorder="1"/>
    <xf numFmtId="0" fontId="7" fillId="0" borderId="6" xfId="0" applyFont="1" applyBorder="1"/>
    <xf numFmtId="0" fontId="3" fillId="0" borderId="7" xfId="0" applyFont="1" applyBorder="1"/>
    <xf numFmtId="0" fontId="3" fillId="0" borderId="8" xfId="0" applyFont="1" applyBorder="1"/>
    <xf numFmtId="0" fontId="7" fillId="0" borderId="3" xfId="0" applyFont="1" applyBorder="1"/>
    <xf numFmtId="0" fontId="7" fillId="0" borderId="2" xfId="0" applyFont="1" applyBorder="1"/>
    <xf numFmtId="0" fontId="12" fillId="0" borderId="0" xfId="0" applyFont="1"/>
    <xf numFmtId="3" fontId="3" fillId="0" borderId="3" xfId="0" applyNumberFormat="1" applyFont="1" applyBorder="1"/>
    <xf numFmtId="0" fontId="13" fillId="0" borderId="5" xfId="0" applyFont="1" applyBorder="1"/>
    <xf numFmtId="3" fontId="3" fillId="0" borderId="5" xfId="0" applyNumberFormat="1" applyFont="1" applyBorder="1"/>
    <xf numFmtId="0" fontId="13" fillId="0" borderId="8" xfId="0" applyFont="1" applyBorder="1"/>
    <xf numFmtId="3" fontId="3" fillId="0" borderId="0" xfId="0" applyNumberFormat="1" applyFont="1"/>
    <xf numFmtId="0" fontId="14" fillId="2" borderId="0" xfId="0" applyFont="1" applyFill="1"/>
    <xf numFmtId="0" fontId="3" fillId="0" borderId="6" xfId="0" applyFont="1" applyBorder="1"/>
    <xf numFmtId="0" fontId="4" fillId="0" borderId="6" xfId="0" applyFont="1" applyBorder="1"/>
    <xf numFmtId="11" fontId="3" fillId="0" borderId="5" xfId="0" applyNumberFormat="1" applyFont="1" applyBorder="1"/>
    <xf numFmtId="0" fontId="3" fillId="3" borderId="6" xfId="0" applyFont="1" applyFill="1" applyBorder="1"/>
    <xf numFmtId="0" fontId="3" fillId="3" borderId="8" xfId="0" applyFont="1" applyFill="1" applyBorder="1"/>
    <xf numFmtId="11" fontId="3" fillId="0" borderId="8" xfId="0" applyNumberFormat="1" applyFont="1" applyBorder="1"/>
    <xf numFmtId="0" fontId="16" fillId="0" borderId="0" xfId="0" applyFont="1"/>
    <xf numFmtId="0" fontId="17" fillId="0" borderId="0" xfId="0" applyFont="1"/>
    <xf numFmtId="0" fontId="7" fillId="0" borderId="1" xfId="0" applyFont="1" applyBorder="1"/>
    <xf numFmtId="10" fontId="3" fillId="0" borderId="8" xfId="0" applyNumberFormat="1" applyFont="1" applyBorder="1"/>
    <xf numFmtId="0" fontId="3" fillId="0" borderId="0" xfId="0" applyFont="1" applyAlignment="1">
      <alignment horizontal="left"/>
    </xf>
    <xf numFmtId="0" fontId="15" fillId="2" borderId="1" xfId="0" applyFont="1" applyFill="1" applyBorder="1" applyAlignment="1">
      <alignment horizontal="left"/>
    </xf>
    <xf numFmtId="0" fontId="7" fillId="0" borderId="1" xfId="0" applyFont="1" applyBorder="1" applyAlignment="1"/>
    <xf numFmtId="0" fontId="13" fillId="0" borderId="2" xfId="0" applyFont="1" applyBorder="1" applyAlignment="1"/>
    <xf numFmtId="0" fontId="13" fillId="0" borderId="3" xfId="0" applyFont="1" applyBorder="1" applyAlignment="1"/>
  </cellXfs>
  <cellStyles count="1">
    <cellStyle name="Normal" xfId="0" builtinId="0"/>
  </cellStyles>
  <dxfs count="6">
    <dxf>
      <fill>
        <patternFill patternType="solid">
          <fgColor rgb="FFB7E1CD"/>
          <bgColor rgb="FFB7E1CD"/>
        </patternFill>
      </fill>
    </dxf>
    <dxf>
      <font>
        <color rgb="FFB7B7B7"/>
      </font>
      <fill>
        <patternFill patternType="none"/>
      </fill>
    </dxf>
    <dxf>
      <fill>
        <patternFill patternType="solid">
          <fgColor rgb="FFFCE8B2"/>
          <bgColor rgb="FFFCE8B2"/>
        </patternFill>
      </fill>
    </dxf>
    <dxf>
      <fill>
        <patternFill patternType="solid">
          <fgColor rgb="FFF6B26B"/>
          <bgColor rgb="FFF6B26B"/>
        </patternFill>
      </fill>
    </dxf>
    <dxf>
      <fill>
        <patternFill patternType="solid">
          <fgColor rgb="FFB7E1CD"/>
          <bgColor rgb="FFB7E1CD"/>
        </patternFill>
      </fill>
    </dxf>
    <dxf>
      <fill>
        <patternFill patternType="solid">
          <fgColor rgb="FF6D9EEB"/>
          <bgColor rgb="FF6D9EE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47625</xdr:rowOff>
    </xdr:from>
    <xdr:ext cx="8096250" cy="26384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9050" y="47625"/>
          <a:ext cx="8096250" cy="26384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962025</xdr:colOff>
      <xdr:row>40</xdr:row>
      <xdr:rowOff>200025</xdr:rowOff>
    </xdr:from>
    <xdr:ext cx="5791200" cy="293370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1123950</xdr:colOff>
      <xdr:row>12</xdr:row>
      <xdr:rowOff>190500</xdr:rowOff>
    </xdr:from>
    <xdr:ext cx="5076825" cy="1323975"/>
    <xdr:pic>
      <xdr:nvPicPr>
        <xdr:cNvPr id="2" name="image3.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419100</xdr:colOff>
      <xdr:row>7</xdr:row>
      <xdr:rowOff>180975</xdr:rowOff>
    </xdr:from>
    <xdr:ext cx="7086600" cy="3810000"/>
    <xdr:pic>
      <xdr:nvPicPr>
        <xdr:cNvPr id="3" name="image4.png" title="Image">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Communication_networ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ort.no/" TargetMode="External"/><Relationship Id="rId1" Type="http://schemas.openxmlformats.org/officeDocument/2006/relationships/hyperlink" Target="http://www.imperial.ac.u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cryptii.com/pipes/caesar-cipher" TargetMode="External"/><Relationship Id="rId3" Type="http://schemas.openxmlformats.org/officeDocument/2006/relationships/hyperlink" Target="https://www.subnet-calculator.com/cidr.php" TargetMode="External"/><Relationship Id="rId7" Type="http://schemas.openxmlformats.org/officeDocument/2006/relationships/hyperlink" Target="https://www.dcode.fr/caesar-cipher" TargetMode="External"/><Relationship Id="rId2" Type="http://schemas.openxmlformats.org/officeDocument/2006/relationships/hyperlink" Target="https://www.browserling.com/tools/ip-to-bin" TargetMode="External"/><Relationship Id="rId1" Type="http://schemas.openxmlformats.org/officeDocument/2006/relationships/hyperlink" Target="https://www.site24x7.com/tools/ipv4-subnetcalculator.html" TargetMode="External"/><Relationship Id="rId6" Type="http://schemas.openxmlformats.org/officeDocument/2006/relationships/hyperlink" Target="https://en.wikipedia.org/wiki/User_Datagram_Protocol" TargetMode="External"/><Relationship Id="rId11" Type="http://schemas.openxmlformats.org/officeDocument/2006/relationships/hyperlink" Target="https://en.wikipedia.org/wiki/Ethernet_frame" TargetMode="External"/><Relationship Id="rId5" Type="http://schemas.openxmlformats.org/officeDocument/2006/relationships/hyperlink" Target="http://fixmycode.github.io/IPFCalc/" TargetMode="External"/><Relationship Id="rId10" Type="http://schemas.openxmlformats.org/officeDocument/2006/relationships/hyperlink" Target="https://en.wikipedia.org/wiki/IPv6_packet" TargetMode="External"/><Relationship Id="rId4" Type="http://schemas.openxmlformats.org/officeDocument/2006/relationships/hyperlink" Target="https://www.irongeek.com/diffie-hellman.php" TargetMode="External"/><Relationship Id="rId9" Type="http://schemas.openxmlformats.org/officeDocument/2006/relationships/hyperlink" Target="https://en.wikipedia.org/wiki/IPv4"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50"/>
  <sheetViews>
    <sheetView topLeftCell="A18" workbookViewId="0">
      <selection activeCell="D12" sqref="D12"/>
    </sheetView>
  </sheetViews>
  <sheetFormatPr defaultColWidth="14.42578125" defaultRowHeight="15.75" customHeight="1"/>
  <cols>
    <col min="1" max="1" width="24.42578125" customWidth="1"/>
    <col min="2" max="2" width="33.7109375" customWidth="1"/>
    <col min="3" max="3" width="10.85546875" customWidth="1"/>
    <col min="4" max="4" width="195.85546875" customWidth="1"/>
  </cols>
  <sheetData>
    <row r="1" spans="1:4" ht="12.95">
      <c r="A1" s="1"/>
    </row>
    <row r="16" spans="1:4" ht="15.95">
      <c r="A16" s="2" t="s">
        <v>0</v>
      </c>
      <c r="B16" s="2" t="s">
        <v>1</v>
      </c>
      <c r="C16" s="2" t="s">
        <v>2</v>
      </c>
      <c r="D16" s="2" t="s">
        <v>3</v>
      </c>
    </row>
    <row r="17" spans="1:4" ht="12.95">
      <c r="A17" s="3" t="s">
        <v>4</v>
      </c>
      <c r="B17" s="3" t="s">
        <v>5</v>
      </c>
      <c r="C17" s="3">
        <v>5</v>
      </c>
      <c r="D17" s="3" t="s">
        <v>6</v>
      </c>
    </row>
    <row r="18" spans="1:4" ht="12.95">
      <c r="A18" s="3" t="s">
        <v>7</v>
      </c>
      <c r="B18" s="3" t="s">
        <v>8</v>
      </c>
      <c r="C18" s="3">
        <v>5</v>
      </c>
      <c r="D18" s="3" t="s">
        <v>9</v>
      </c>
    </row>
    <row r="19" spans="1:4" ht="12.95">
      <c r="A19" s="3" t="s">
        <v>10</v>
      </c>
      <c r="B19" s="3" t="s">
        <v>11</v>
      </c>
      <c r="C19" s="3">
        <v>5</v>
      </c>
      <c r="D19" s="3" t="s">
        <v>12</v>
      </c>
    </row>
    <row r="20" spans="1:4" ht="12.95">
      <c r="A20" s="3" t="s">
        <v>13</v>
      </c>
      <c r="B20" s="3" t="s">
        <v>14</v>
      </c>
      <c r="C20" s="3">
        <v>5</v>
      </c>
      <c r="D20" s="3" t="s">
        <v>14</v>
      </c>
    </row>
    <row r="21" spans="1:4" ht="12.95">
      <c r="A21" s="3" t="s">
        <v>15</v>
      </c>
      <c r="B21" s="3" t="s">
        <v>16</v>
      </c>
      <c r="C21" s="3">
        <v>5</v>
      </c>
      <c r="D21" s="3" t="s">
        <v>17</v>
      </c>
    </row>
    <row r="22" spans="1:4" ht="12.95">
      <c r="A22" s="3" t="s">
        <v>18</v>
      </c>
      <c r="B22" s="3" t="s">
        <v>19</v>
      </c>
      <c r="C22" s="3">
        <v>5</v>
      </c>
      <c r="D22" s="3" t="s">
        <v>20</v>
      </c>
    </row>
    <row r="23" spans="1:4" ht="12.95">
      <c r="A23" s="44" t="s">
        <v>21</v>
      </c>
      <c r="B23" s="3" t="s">
        <v>22</v>
      </c>
      <c r="C23" s="3">
        <v>5</v>
      </c>
      <c r="D23" s="3" t="s">
        <v>23</v>
      </c>
    </row>
    <row r="24" spans="1:4" ht="12.95">
      <c r="A24" s="3" t="s">
        <v>24</v>
      </c>
      <c r="B24" s="3" t="s">
        <v>25</v>
      </c>
      <c r="C24" s="3">
        <v>5</v>
      </c>
      <c r="D24" s="3" t="s">
        <v>26</v>
      </c>
    </row>
    <row r="25" spans="1:4" ht="12.95">
      <c r="A25" s="3" t="s">
        <v>27</v>
      </c>
      <c r="B25" s="3" t="s">
        <v>28</v>
      </c>
      <c r="C25" s="3">
        <v>4</v>
      </c>
      <c r="D25" s="3" t="s">
        <v>29</v>
      </c>
    </row>
    <row r="26" spans="1:4" ht="12.95">
      <c r="A26" s="3" t="s">
        <v>30</v>
      </c>
      <c r="B26" s="3" t="s">
        <v>31</v>
      </c>
      <c r="C26" s="3">
        <v>4</v>
      </c>
      <c r="D26" s="3" t="s">
        <v>32</v>
      </c>
    </row>
    <row r="27" spans="1:4" ht="12.95">
      <c r="A27" s="3" t="s">
        <v>33</v>
      </c>
      <c r="B27" s="3" t="s">
        <v>34</v>
      </c>
      <c r="C27" s="3">
        <v>4</v>
      </c>
      <c r="D27" s="3" t="s">
        <v>35</v>
      </c>
    </row>
    <row r="28" spans="1:4" ht="12.95">
      <c r="A28" s="3" t="s">
        <v>36</v>
      </c>
      <c r="B28" s="3" t="s">
        <v>37</v>
      </c>
      <c r="C28" s="3">
        <v>3</v>
      </c>
      <c r="D28" s="3" t="s">
        <v>38</v>
      </c>
    </row>
    <row r="29" spans="1:4" ht="12.95">
      <c r="A29" s="3" t="s">
        <v>39</v>
      </c>
      <c r="B29" s="3" t="s">
        <v>40</v>
      </c>
      <c r="C29" s="3">
        <v>3</v>
      </c>
      <c r="D29" s="3" t="s">
        <v>41</v>
      </c>
    </row>
    <row r="30" spans="1:4" ht="12.95">
      <c r="A30" s="3" t="s">
        <v>42</v>
      </c>
      <c r="B30" s="3" t="s">
        <v>43</v>
      </c>
      <c r="C30" s="3">
        <v>3</v>
      </c>
      <c r="D30" s="3" t="s">
        <v>44</v>
      </c>
    </row>
    <row r="31" spans="1:4" ht="12.95">
      <c r="A31" s="3" t="s">
        <v>45</v>
      </c>
      <c r="B31" s="3" t="s">
        <v>46</v>
      </c>
      <c r="C31" s="3">
        <v>3</v>
      </c>
      <c r="D31" s="3" t="s">
        <v>47</v>
      </c>
    </row>
    <row r="32" spans="1:4" ht="12.95">
      <c r="A32" s="3" t="s">
        <v>48</v>
      </c>
      <c r="B32" s="3" t="s">
        <v>49</v>
      </c>
      <c r="C32" s="3">
        <v>3</v>
      </c>
      <c r="D32" s="3" t="s">
        <v>50</v>
      </c>
    </row>
    <row r="33" spans="1:4" ht="12.95">
      <c r="A33" s="3" t="s">
        <v>51</v>
      </c>
      <c r="B33" s="3" t="s">
        <v>52</v>
      </c>
      <c r="C33" s="3">
        <v>3</v>
      </c>
      <c r="D33" s="3" t="s">
        <v>53</v>
      </c>
    </row>
    <row r="34" spans="1:4" ht="12.95">
      <c r="A34" s="4" t="s">
        <v>54</v>
      </c>
      <c r="B34" s="3" t="s">
        <v>55</v>
      </c>
      <c r="C34" s="3">
        <v>2</v>
      </c>
      <c r="D34" s="3" t="s">
        <v>56</v>
      </c>
    </row>
    <row r="35" spans="1:4" ht="12.95">
      <c r="A35" s="3" t="s">
        <v>57</v>
      </c>
      <c r="B35" s="5" t="s">
        <v>58</v>
      </c>
      <c r="C35" s="3">
        <v>2</v>
      </c>
      <c r="D35" s="3" t="s">
        <v>59</v>
      </c>
    </row>
    <row r="36" spans="1:4" ht="12.95">
      <c r="A36" s="3" t="s">
        <v>60</v>
      </c>
      <c r="B36" s="3" t="s">
        <v>61</v>
      </c>
      <c r="C36" s="3">
        <v>2</v>
      </c>
      <c r="D36" s="3" t="s">
        <v>62</v>
      </c>
    </row>
    <row r="37" spans="1:4" ht="12.95">
      <c r="A37" s="3" t="s">
        <v>63</v>
      </c>
      <c r="B37" s="3" t="s">
        <v>64</v>
      </c>
      <c r="C37" s="3">
        <v>2</v>
      </c>
      <c r="D37" s="3" t="s">
        <v>65</v>
      </c>
    </row>
    <row r="38" spans="1:4" ht="12.95">
      <c r="A38" s="3" t="s">
        <v>66</v>
      </c>
      <c r="B38" s="3" t="s">
        <v>67</v>
      </c>
      <c r="C38" s="3">
        <v>2</v>
      </c>
      <c r="D38" s="3" t="s">
        <v>68</v>
      </c>
    </row>
    <row r="39" spans="1:4" ht="13.5" customHeight="1">
      <c r="A39" s="6" t="s">
        <v>69</v>
      </c>
      <c r="B39" s="4" t="s">
        <v>70</v>
      </c>
      <c r="C39" s="3">
        <v>2</v>
      </c>
      <c r="D39" s="3" t="s">
        <v>71</v>
      </c>
    </row>
    <row r="40" spans="1:4" ht="12.95">
      <c r="A40" s="3" t="s">
        <v>72</v>
      </c>
      <c r="B40" s="3" t="s">
        <v>72</v>
      </c>
      <c r="C40" s="3">
        <v>2</v>
      </c>
      <c r="D40" s="3" t="s">
        <v>73</v>
      </c>
    </row>
    <row r="41" spans="1:4" ht="12.95">
      <c r="A41" s="3" t="s">
        <v>74</v>
      </c>
      <c r="B41" s="3" t="s">
        <v>75</v>
      </c>
      <c r="C41" s="3">
        <v>2</v>
      </c>
      <c r="D41" s="3" t="s">
        <v>76</v>
      </c>
    </row>
    <row r="44" spans="1:4" ht="12.95">
      <c r="B44" s="7" t="s">
        <v>77</v>
      </c>
    </row>
    <row r="45" spans="1:4" ht="14.1">
      <c r="B45" s="3" t="s">
        <v>78</v>
      </c>
      <c r="C45" s="3">
        <v>3</v>
      </c>
      <c r="D45" s="8" t="s">
        <v>79</v>
      </c>
    </row>
    <row r="46" spans="1:4" ht="12.95">
      <c r="B46" s="3" t="s">
        <v>80</v>
      </c>
      <c r="C46" s="3">
        <v>2</v>
      </c>
      <c r="D46" s="3" t="s">
        <v>81</v>
      </c>
    </row>
    <row r="47" spans="1:4" ht="15">
      <c r="B47" s="3" t="s">
        <v>82</v>
      </c>
      <c r="C47" s="3">
        <v>2</v>
      </c>
      <c r="D47" s="9" t="s">
        <v>83</v>
      </c>
    </row>
    <row r="48" spans="1:4" ht="12.95">
      <c r="B48" s="3" t="s">
        <v>84</v>
      </c>
      <c r="C48" s="3">
        <v>2</v>
      </c>
      <c r="D48" s="3" t="s">
        <v>85</v>
      </c>
    </row>
    <row r="49" spans="2:4" ht="12.95">
      <c r="B49" s="3" t="s">
        <v>86</v>
      </c>
      <c r="C49" s="3">
        <v>1</v>
      </c>
      <c r="D49" s="3" t="s">
        <v>87</v>
      </c>
    </row>
    <row r="50" spans="2:4" ht="15.75" customHeight="1">
      <c r="B50" t="s">
        <v>88</v>
      </c>
      <c r="C50">
        <v>1</v>
      </c>
      <c r="D50" t="s">
        <v>89</v>
      </c>
    </row>
  </sheetData>
  <conditionalFormatting sqref="C17:C100">
    <cfRule type="cellIs" dxfId="5" priority="1" operator="equal">
      <formula>5</formula>
    </cfRule>
    <cfRule type="cellIs" dxfId="4" priority="2" operator="equal">
      <formula>4</formula>
    </cfRule>
    <cfRule type="cellIs" dxfId="3" priority="3" operator="equal">
      <formula>3</formula>
    </cfRule>
    <cfRule type="notContainsBlanks" dxfId="2" priority="4">
      <formula>LEN(TRIM(C17))&gt;0</formula>
    </cfRule>
  </conditionalFormatting>
  <hyperlinks>
    <hyperlink ref="D47" r:id="rId1" xr:uid="{00000000-0004-0000-0000-000000000000}"/>
  </hyperlinks>
  <printOptions horizontalCentered="1" gridLines="1"/>
  <pageMargins left="0.7" right="0.7" top="0.75" bottom="0.75" header="0" footer="0"/>
  <pageSetup fitToHeight="0"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2"/>
  <sheetViews>
    <sheetView topLeftCell="A8" workbookViewId="0">
      <selection activeCell="A20" sqref="A20"/>
    </sheetView>
  </sheetViews>
  <sheetFormatPr defaultColWidth="14.42578125" defaultRowHeight="15.75" customHeight="1"/>
  <cols>
    <col min="1" max="1" width="108.42578125" customWidth="1"/>
    <col min="2" max="2" width="62.7109375" customWidth="1"/>
  </cols>
  <sheetData>
    <row r="1" spans="1:2" ht="12.95">
      <c r="A1" s="1"/>
    </row>
    <row r="2" spans="1:2" ht="15.75" customHeight="1">
      <c r="A2" s="2" t="s">
        <v>90</v>
      </c>
      <c r="B2" s="2" t="s">
        <v>3</v>
      </c>
    </row>
    <row r="3" spans="1:2" ht="15.95">
      <c r="A3" s="10" t="s">
        <v>91</v>
      </c>
      <c r="B3" s="10" t="s">
        <v>92</v>
      </c>
    </row>
    <row r="4" spans="1:2" ht="15.95">
      <c r="A4" s="10" t="s">
        <v>93</v>
      </c>
      <c r="B4" s="10" t="s">
        <v>94</v>
      </c>
    </row>
    <row r="5" spans="1:2" ht="15.95">
      <c r="A5" s="10" t="s">
        <v>95</v>
      </c>
      <c r="B5" s="10" t="s">
        <v>96</v>
      </c>
    </row>
    <row r="6" spans="1:2" ht="48">
      <c r="A6" s="10" t="s">
        <v>97</v>
      </c>
      <c r="B6" s="10" t="s">
        <v>98</v>
      </c>
    </row>
    <row r="7" spans="1:2" ht="15.95">
      <c r="A7" s="10" t="s">
        <v>99</v>
      </c>
      <c r="B7" s="10" t="s">
        <v>100</v>
      </c>
    </row>
    <row r="8" spans="1:2" ht="63.95">
      <c r="A8" s="10" t="s">
        <v>101</v>
      </c>
      <c r="B8" s="10" t="s">
        <v>102</v>
      </c>
    </row>
    <row r="9" spans="1:2" ht="15.95">
      <c r="A9" s="11" t="s">
        <v>103</v>
      </c>
      <c r="B9" s="10" t="s">
        <v>100</v>
      </c>
    </row>
    <row r="10" spans="1:2" ht="15.95">
      <c r="A10" s="11" t="s">
        <v>104</v>
      </c>
      <c r="B10" s="10" t="s">
        <v>105</v>
      </c>
    </row>
    <row r="11" spans="1:2" ht="15.95">
      <c r="A11" s="10" t="s">
        <v>106</v>
      </c>
      <c r="B11" s="10" t="s">
        <v>107</v>
      </c>
    </row>
    <row r="12" spans="1:2" ht="15.95">
      <c r="A12" s="10" t="s">
        <v>108</v>
      </c>
      <c r="B12" s="10" t="s">
        <v>109</v>
      </c>
    </row>
    <row r="13" spans="1:2" ht="32.1">
      <c r="A13" s="10" t="s">
        <v>110</v>
      </c>
      <c r="B13" s="10" t="s">
        <v>111</v>
      </c>
    </row>
    <row r="14" spans="1:2" ht="32.1">
      <c r="A14" s="10" t="s">
        <v>112</v>
      </c>
      <c r="B14" s="10" t="s">
        <v>113</v>
      </c>
    </row>
    <row r="15" spans="1:2" ht="15.95">
      <c r="A15" s="10" t="s">
        <v>114</v>
      </c>
      <c r="B15" s="10" t="s">
        <v>115</v>
      </c>
    </row>
    <row r="16" spans="1:2" ht="15.95">
      <c r="A16" s="10" t="s">
        <v>116</v>
      </c>
      <c r="B16" s="10" t="s">
        <v>117</v>
      </c>
    </row>
    <row r="17" spans="1:2" ht="15.95">
      <c r="A17" s="10" t="s">
        <v>118</v>
      </c>
      <c r="B17" s="10" t="s">
        <v>119</v>
      </c>
    </row>
    <row r="18" spans="1:2" ht="15.95">
      <c r="A18" s="10" t="s">
        <v>120</v>
      </c>
      <c r="B18" s="10" t="s">
        <v>121</v>
      </c>
    </row>
    <row r="19" spans="1:2" ht="32.1">
      <c r="A19" s="10" t="s">
        <v>122</v>
      </c>
      <c r="B19" s="10" t="s">
        <v>123</v>
      </c>
    </row>
    <row r="20" spans="1:2" ht="48">
      <c r="A20" s="10" t="s">
        <v>124</v>
      </c>
      <c r="B20" s="10" t="s">
        <v>125</v>
      </c>
    </row>
    <row r="21" spans="1:2" ht="12.95">
      <c r="A21" s="3" t="s">
        <v>126</v>
      </c>
      <c r="B21" s="3" t="s">
        <v>127</v>
      </c>
    </row>
    <row r="22" spans="1:2" ht="12.95">
      <c r="A22" s="3" t="s">
        <v>128</v>
      </c>
      <c r="B22" s="3" t="s">
        <v>129</v>
      </c>
    </row>
  </sheetData>
  <hyperlinks>
    <hyperlink ref="A9" r:id="rId1" xr:uid="{00000000-0004-0000-0100-000000000000}"/>
    <hyperlink ref="A1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72"/>
  <sheetViews>
    <sheetView topLeftCell="D1" workbookViewId="0">
      <selection activeCell="D50" sqref="D50"/>
    </sheetView>
  </sheetViews>
  <sheetFormatPr defaultColWidth="14.42578125" defaultRowHeight="15.75" customHeight="1"/>
  <cols>
    <col min="2" max="2" width="24.42578125" customWidth="1"/>
    <col min="3" max="3" width="35.7109375" customWidth="1"/>
    <col min="4" max="4" width="56.85546875" customWidth="1"/>
    <col min="5" max="5" width="35.7109375" customWidth="1"/>
    <col min="6" max="6" width="24.140625" customWidth="1"/>
    <col min="7" max="7" width="32.7109375" customWidth="1"/>
    <col min="8" max="8" width="23.140625" customWidth="1"/>
    <col min="11" max="11" width="27.42578125" customWidth="1"/>
    <col min="12" max="12" width="37.7109375" customWidth="1"/>
    <col min="13" max="13" width="30.7109375" customWidth="1"/>
    <col min="15" max="15" width="16.140625" customWidth="1"/>
    <col min="19" max="19" width="25.140625" customWidth="1"/>
  </cols>
  <sheetData>
    <row r="1" spans="1:7" ht="12.95">
      <c r="A1" s="1"/>
    </row>
    <row r="2" spans="1:7" ht="12.95">
      <c r="B2" s="12"/>
      <c r="C2" s="13" t="s">
        <v>130</v>
      </c>
      <c r="D2" s="13" t="s">
        <v>131</v>
      </c>
      <c r="E2" s="13" t="s">
        <v>132</v>
      </c>
      <c r="F2" s="13" t="s">
        <v>133</v>
      </c>
      <c r="G2" s="14" t="s">
        <v>134</v>
      </c>
    </row>
    <row r="3" spans="1:7" ht="19.5" customHeight="1">
      <c r="B3" s="15"/>
      <c r="C3" s="7" t="s">
        <v>135</v>
      </c>
      <c r="D3" s="7" t="s">
        <v>136</v>
      </c>
      <c r="E3" s="7" t="s">
        <v>137</v>
      </c>
      <c r="F3" s="7" t="s">
        <v>138</v>
      </c>
      <c r="G3" s="16" t="s">
        <v>139</v>
      </c>
    </row>
    <row r="4" spans="1:7" ht="12.95" hidden="1">
      <c r="B4" s="17" t="s">
        <v>140</v>
      </c>
      <c r="C4" s="3" t="s">
        <v>141</v>
      </c>
      <c r="D4" s="3" t="s">
        <v>141</v>
      </c>
      <c r="E4" s="3" t="s">
        <v>142</v>
      </c>
      <c r="F4" s="3" t="s">
        <v>141</v>
      </c>
      <c r="G4" s="18" t="s">
        <v>143</v>
      </c>
    </row>
    <row r="5" spans="1:7" ht="12.95">
      <c r="B5" s="15" t="s">
        <v>144</v>
      </c>
      <c r="E5" s="3" t="s">
        <v>145</v>
      </c>
      <c r="F5" s="3" t="s">
        <v>146</v>
      </c>
      <c r="G5" s="3" t="s">
        <v>147</v>
      </c>
    </row>
    <row r="6" spans="1:7" ht="12.95" hidden="1">
      <c r="B6" s="19" t="s">
        <v>148</v>
      </c>
      <c r="C6" s="3" t="str">
        <f ca="1">IFERROR(__xludf.DUMMYFUNCTION(" IF(not(ISBLANK(C5)), VALUE(REGEXREPLACE(C5,""[^([:digit:]|.)]"", """")), """")"),"")</f>
        <v/>
      </c>
      <c r="D6" s="3" t="str">
        <f ca="1">IFERROR(__xludf.DUMMYFUNCTION(" IF(not(ISBLANK(D5)), VALUE(REGEXREPLACE(D5,""[^([:digit:]|.)]"", """")), """")"),"")</f>
        <v/>
      </c>
      <c r="E6" s="3">
        <f ca="1">IFERROR(__xludf.DUMMYFUNCTION(" IF(not(ISBLANK(E5)), VALUE(REGEXREPLACE(E5,""[^([:digit:]|.)]"", """")), """")"),2)</f>
        <v>2</v>
      </c>
      <c r="F6" s="3">
        <f ca="1">IFERROR(__xludf.DUMMYFUNCTION(" IF(not(ISBLANK(F5)), VALUE(REGEXREPLACE(F5,""[^([:digit:]|.)]"", """")), """")"),4182)</f>
        <v>4182</v>
      </c>
      <c r="G6" s="18">
        <f ca="1">IFERROR(__xludf.DUMMYFUNCTION(" IF(not(ISBLANK(G5)), VALUE(REGEXREPLACE(G5,""[^([:digit:]|.)]"", """")), """")"),1)</f>
        <v>1</v>
      </c>
    </row>
    <row r="7" spans="1:7" ht="12.95" hidden="1">
      <c r="B7" s="19" t="s">
        <v>149</v>
      </c>
      <c r="C7" s="3" t="str">
        <f ca="1">IFERROR(__xludf.DUMMYFUNCTION("REGEXREPLACE(C5,""[^[:alpha:]]"", """")"),"")</f>
        <v/>
      </c>
      <c r="D7" s="3" t="str">
        <f ca="1">IFERROR(__xludf.DUMMYFUNCTION("REGEXREPLACE(D5,""[^[:alpha:]]"", """")"),"")</f>
        <v/>
      </c>
      <c r="E7" s="3" t="str">
        <f ca="1">IFERROR(__xludf.DUMMYFUNCTION("REGEXREPLACE(E5,""[^[:alpha:]]"", """")"),"Mbps")</f>
        <v>Mbps</v>
      </c>
      <c r="F7" s="3" t="str">
        <f ca="1">IFERROR(__xludf.DUMMYFUNCTION("REGEXREPLACE(F5,""[^[:alpha:]]"", """")"),"s")</f>
        <v>s</v>
      </c>
      <c r="G7" s="18" t="str">
        <f ca="1">IFERROR(__xludf.DUMMYFUNCTION("REGEXREPLACE(G5,""[^[:alpha:]]"", """")"),"GB")</f>
        <v>GB</v>
      </c>
    </row>
    <row r="8" spans="1:7" ht="12.95" hidden="1">
      <c r="B8" s="19" t="s">
        <v>150</v>
      </c>
      <c r="C8" s="20" t="s">
        <v>151</v>
      </c>
      <c r="D8" s="20" t="s">
        <v>151</v>
      </c>
      <c r="E8" s="20">
        <f t="array" aca="1" ref="E8" ca="1">IFERROR(E6*INDEX(Units!$D$4:$D$13, MATCH(TRUE, EXACT(E7, Units!$C$4:$C$13), 0)), "")</f>
        <v>20000000</v>
      </c>
      <c r="F8" s="20">
        <v>4182</v>
      </c>
      <c r="G8" s="21">
        <f t="array" aca="1" ref="G8" ca="1">IFERROR(G6*INDEX(Units!$D$4:$D$13, MATCH(TRUE, EXACT(G7, Units!$B$4:$B$13), 0)), "")</f>
        <v>80000000000</v>
      </c>
    </row>
    <row r="9" spans="1:7" ht="12.95" hidden="1">
      <c r="B9" s="19" t="s">
        <v>152</v>
      </c>
      <c r="C9" s="3" t="b">
        <f t="shared" ref="C9:G9" si="0">NOT(OR(ISBLANK(B8),EXACT(C8, "")  ))</f>
        <v>0</v>
      </c>
      <c r="D9" s="3" t="b">
        <f t="shared" si="0"/>
        <v>0</v>
      </c>
      <c r="E9" s="3" t="b">
        <f t="shared" ca="1" si="0"/>
        <v>1</v>
      </c>
      <c r="F9" s="3" t="b">
        <f t="shared" ca="1" si="0"/>
        <v>1</v>
      </c>
      <c r="G9" s="18" t="b">
        <f t="shared" ca="1" si="0"/>
        <v>1</v>
      </c>
    </row>
    <row r="10" spans="1:7" ht="12.95">
      <c r="B10" s="15" t="s">
        <v>153</v>
      </c>
      <c r="C10" s="3" t="str">
        <f t="shared" ref="C10:G10" si="1">IF(C9, C8&amp;" "&amp;C4, "")</f>
        <v/>
      </c>
      <c r="D10" s="3" t="str">
        <f t="shared" si="1"/>
        <v/>
      </c>
      <c r="E10" s="3" t="str">
        <f t="shared" ca="1" si="1"/>
        <v>20000000 bps</v>
      </c>
      <c r="F10" s="3" t="str">
        <f t="shared" ca="1" si="1"/>
        <v>4182 s</v>
      </c>
      <c r="G10" s="18" t="str">
        <f t="shared" ca="1" si="1"/>
        <v>80000000000 b</v>
      </c>
    </row>
    <row r="11" spans="1:7" ht="12.95">
      <c r="B11" s="19"/>
      <c r="G11" s="18"/>
    </row>
    <row r="12" spans="1:7" ht="12.95" hidden="1">
      <c r="B12" s="19"/>
      <c r="G12" s="18"/>
    </row>
    <row r="13" spans="1:7" ht="12.95" hidden="1">
      <c r="B13" s="19"/>
      <c r="G13" s="18"/>
    </row>
    <row r="14" spans="1:7" ht="12.95" hidden="1">
      <c r="B14" s="19" t="s">
        <v>154</v>
      </c>
      <c r="C14" s="3" t="str">
        <f ca="1">IF(C9, C8, IF(AND(F9, D9), F8-D8, ""))</f>
        <v/>
      </c>
      <c r="D14" s="3">
        <f ca="1">IF(D9, D8, IF(AND(G9, E9), G8 / E8, IF(AND(F9, C9), F8 - C8, "")))</f>
        <v>4000</v>
      </c>
      <c r="E14" s="3">
        <f ca="1">IF(E9, E8, IF(AND(G9, D9), G8/D8, ""))</f>
        <v>20000000</v>
      </c>
      <c r="F14" s="3">
        <f ca="1">IF(F9, F8, IF(AND(C9, D9), C8 + D8, ""))</f>
        <v>4182</v>
      </c>
      <c r="G14" s="18">
        <f ca="1">IF(G9, G8, IF(AND(D9, E9), D8*E8, ""))</f>
        <v>80000000000</v>
      </c>
    </row>
    <row r="15" spans="1:7" ht="12.95" hidden="1">
      <c r="B15" s="19" t="s">
        <v>152</v>
      </c>
      <c r="C15" s="3" t="b">
        <f t="shared" ref="C15:G15" ca="1" si="2">NOT(OR(ISBLANK(B14),EXACT(C14, "")  ))</f>
        <v>0</v>
      </c>
      <c r="D15" s="3" t="b">
        <f t="shared" ca="1" si="2"/>
        <v>1</v>
      </c>
      <c r="E15" s="3" t="b">
        <f t="shared" ca="1" si="2"/>
        <v>1</v>
      </c>
      <c r="F15" s="3" t="b">
        <f t="shared" ca="1" si="2"/>
        <v>1</v>
      </c>
      <c r="G15" s="18" t="b">
        <f t="shared" ca="1" si="2"/>
        <v>1</v>
      </c>
    </row>
    <row r="16" spans="1:7" ht="12.95" hidden="1">
      <c r="B16" s="19" t="s">
        <v>155</v>
      </c>
      <c r="C16" s="3" t="str">
        <f ca="1">IF(C9, "", IF(AND(F9, D9), "d = Δ - L / R", ""))</f>
        <v/>
      </c>
      <c r="D16" s="3" t="str">
        <f ca="1">IF(D9, "", IF(AND(G9, E9), "packetization = L / R", IF(AND(F9, C9), "L / R = Δ - d", "")))</f>
        <v>packetization = L / R</v>
      </c>
      <c r="E16" s="3" t="str">
        <f ca="1">IF(E9, "", IF(AND(G9, D9), "R = L / (t2 - t1)", ""))</f>
        <v/>
      </c>
      <c r="F16" s="3" t="str">
        <f ca="1">IF(F9, "", IF(AND(C9, D9), "Δ = d + L / R", ""))</f>
        <v/>
      </c>
      <c r="G16" s="18" t="str">
        <f ca="1">IF(G9, "", IF(AND(D9, E9), "L = L / R * R", ""))</f>
        <v/>
      </c>
    </row>
    <row r="17" spans="2:7" ht="12.95">
      <c r="B17" s="15" t="s">
        <v>156</v>
      </c>
      <c r="C17" s="3" t="str">
        <f t="shared" ref="C17:G17" ca="1" si="3">IF(C15, C14&amp;" "&amp;C$4, "")</f>
        <v/>
      </c>
      <c r="D17" s="3" t="str">
        <f t="shared" ca="1" si="3"/>
        <v>4000 s</v>
      </c>
      <c r="E17" s="3" t="str">
        <f t="shared" ca="1" si="3"/>
        <v>20000000 bps</v>
      </c>
      <c r="F17" s="3" t="str">
        <f t="shared" ca="1" si="3"/>
        <v>4182 s</v>
      </c>
      <c r="G17" s="18" t="str">
        <f t="shared" ca="1" si="3"/>
        <v>80000000000 b</v>
      </c>
    </row>
    <row r="18" spans="2:7" ht="12.95">
      <c r="B18" s="15" t="s">
        <v>157</v>
      </c>
      <c r="C18" s="3" t="str">
        <f t="shared" ref="C18:G18" ca="1" si="4">IF(EXACT(C16, ""),"", C16&amp;" = "&amp;C17)</f>
        <v/>
      </c>
      <c r="D18" s="3" t="str">
        <f t="shared" ca="1" si="4"/>
        <v>packetization = L / R = 4000 s</v>
      </c>
      <c r="E18" s="3" t="str">
        <f t="shared" ca="1" si="4"/>
        <v/>
      </c>
      <c r="F18" s="3" t="str">
        <f t="shared" ca="1" si="4"/>
        <v/>
      </c>
      <c r="G18" s="18" t="str">
        <f t="shared" ca="1" si="4"/>
        <v/>
      </c>
    </row>
    <row r="19" spans="2:7" ht="12.95">
      <c r="B19" s="19"/>
      <c r="G19" s="18"/>
    </row>
    <row r="20" spans="2:7" ht="12.95" hidden="1">
      <c r="B20" s="19" t="s">
        <v>154</v>
      </c>
      <c r="C20" s="3">
        <f ca="1">IF(C15, C14, IF(AND(F15, D15), F14-D14, ""))</f>
        <v>182</v>
      </c>
      <c r="D20" s="3">
        <f ca="1">IF(D15, D14, IF(AND(G15, E15), G14 / E14, IF(AND(F15, C15), F14 - C14, "")))</f>
        <v>4000</v>
      </c>
      <c r="E20" s="3">
        <f ca="1">IF(E15, E14, IF(AND(G15, D15), G14/D14, ""))</f>
        <v>20000000</v>
      </c>
      <c r="F20" s="3">
        <f ca="1">IF(F15, F14, IF(AND(C15, D15), C14 + D14, ""))</f>
        <v>4182</v>
      </c>
      <c r="G20" s="18">
        <f ca="1">IF(G15, G14, IF(AND(D15, E15), D14*E14, ""))</f>
        <v>80000000000</v>
      </c>
    </row>
    <row r="21" spans="2:7" ht="12.95" hidden="1">
      <c r="B21" s="19" t="s">
        <v>152</v>
      </c>
      <c r="C21" s="3" t="b">
        <f t="shared" ref="C21:G21" ca="1" si="5">NOT(OR(ISBLANK(B20),EXACT(C20, "")  ))</f>
        <v>1</v>
      </c>
      <c r="D21" s="3" t="b">
        <f t="shared" ca="1" si="5"/>
        <v>1</v>
      </c>
      <c r="E21" s="3" t="b">
        <f t="shared" ca="1" si="5"/>
        <v>1</v>
      </c>
      <c r="F21" s="3" t="b">
        <f t="shared" ca="1" si="5"/>
        <v>1</v>
      </c>
      <c r="G21" s="18" t="b">
        <f t="shared" ca="1" si="5"/>
        <v>1</v>
      </c>
    </row>
    <row r="22" spans="2:7" ht="12.95" hidden="1">
      <c r="B22" s="19" t="s">
        <v>155</v>
      </c>
      <c r="C22" s="3" t="str">
        <f ca="1">IF(C15, "", IF(AND(F15, D15), "d = Δ - L / R", ""))</f>
        <v>d = Δ - L / R</v>
      </c>
      <c r="D22" s="3" t="str">
        <f ca="1">IF(D15, "", IF(AND(G15, E15), "packetization = L / R", IF(AND(F15, C15), "L / R = Δ - d", "")))</f>
        <v/>
      </c>
      <c r="E22" s="3" t="str">
        <f ca="1">IF(E15, "", IF(AND(G15, D15), "R = L / (t2 - t1)", ""))</f>
        <v/>
      </c>
      <c r="F22" s="3" t="str">
        <f ca="1">IF(F15, "", IF(AND(C15, D15), "Δ = d + L / R", ""))</f>
        <v/>
      </c>
      <c r="G22" s="18" t="str">
        <f ca="1">IF(G15, "", IF(AND(D15, E15), "L = L / R * R", ""))</f>
        <v/>
      </c>
    </row>
    <row r="23" spans="2:7" ht="12.95">
      <c r="B23" s="15" t="s">
        <v>158</v>
      </c>
      <c r="C23" s="3" t="str">
        <f t="shared" ref="C23:G23" ca="1" si="6">IF(C21, C20&amp;" "&amp;C$4, "")</f>
        <v>182 s</v>
      </c>
      <c r="D23" s="3" t="str">
        <f t="shared" ca="1" si="6"/>
        <v>4000 s</v>
      </c>
      <c r="E23" s="3" t="str">
        <f t="shared" ca="1" si="6"/>
        <v>20000000 bps</v>
      </c>
      <c r="F23" s="3" t="str">
        <f t="shared" ca="1" si="6"/>
        <v>4182 s</v>
      </c>
      <c r="G23" s="18" t="str">
        <f t="shared" ca="1" si="6"/>
        <v>80000000000 b</v>
      </c>
    </row>
    <row r="24" spans="2:7" ht="12.95">
      <c r="B24" s="15" t="s">
        <v>157</v>
      </c>
      <c r="C24" s="3" t="str">
        <f t="shared" ref="C24:G24" ca="1" si="7">IF(EXACT(C22, ""),"", C22&amp;" = "&amp;C23)</f>
        <v>d = Δ - L / R = 182 s</v>
      </c>
      <c r="D24" s="3" t="str">
        <f t="shared" ca="1" si="7"/>
        <v/>
      </c>
      <c r="E24" s="3" t="str">
        <f t="shared" ca="1" si="7"/>
        <v/>
      </c>
      <c r="F24" s="3" t="str">
        <f t="shared" ca="1" si="7"/>
        <v/>
      </c>
      <c r="G24" s="18" t="str">
        <f t="shared" ca="1" si="7"/>
        <v/>
      </c>
    </row>
    <row r="25" spans="2:7" ht="12.95">
      <c r="B25" s="19"/>
      <c r="G25" s="18"/>
    </row>
    <row r="26" spans="2:7" ht="12.95" hidden="1">
      <c r="B26" s="19" t="s">
        <v>154</v>
      </c>
      <c r="C26" s="3">
        <f ca="1">IF(C21, C20, IF(AND(F21, D21), F20-D20, ""))</f>
        <v>182</v>
      </c>
      <c r="D26" s="3">
        <f ca="1">IF(D21, D20, IF(AND(G21, E21), G20 / E20, IF(AND(F21, C21), F20 - C20, "")))</f>
        <v>4000</v>
      </c>
      <c r="E26" s="3">
        <f ca="1">IF(E21, E20, IF(AND(G21, D21), G20/D20, ""))</f>
        <v>20000000</v>
      </c>
      <c r="F26" s="3">
        <f ca="1">IF(F21, F20, IF(AND(C21, D21), C20 + D20, ""))</f>
        <v>4182</v>
      </c>
      <c r="G26" s="18">
        <f ca="1">IF(G21, G20, IF(AND(D21, E21), D20*E20, ""))</f>
        <v>80000000000</v>
      </c>
    </row>
    <row r="27" spans="2:7" ht="12.95" hidden="1">
      <c r="B27" s="19" t="s">
        <v>152</v>
      </c>
      <c r="C27" s="3" t="b">
        <f t="shared" ref="C27:G27" ca="1" si="8">NOT(OR(ISBLANK(B26),EXACT(C26, "")  ))</f>
        <v>1</v>
      </c>
      <c r="D27" s="3" t="b">
        <f t="shared" ca="1" si="8"/>
        <v>1</v>
      </c>
      <c r="E27" s="3" t="b">
        <f t="shared" ca="1" si="8"/>
        <v>1</v>
      </c>
      <c r="F27" s="3" t="b">
        <f t="shared" ca="1" si="8"/>
        <v>1</v>
      </c>
      <c r="G27" s="18" t="b">
        <f t="shared" ca="1" si="8"/>
        <v>1</v>
      </c>
    </row>
    <row r="28" spans="2:7" ht="12.95" hidden="1">
      <c r="B28" s="19" t="s">
        <v>155</v>
      </c>
      <c r="C28" s="3" t="str">
        <f ca="1">IF(C21, "", IF(AND(F21, D21), "d = Δ - L / R", ""))</f>
        <v/>
      </c>
      <c r="D28" s="3" t="str">
        <f ca="1">IF(D21, "", IF(AND(G21, E21), "packetization = L / R", IF(AND(F21, C21), "L / R = Δ - d", "")))</f>
        <v/>
      </c>
      <c r="E28" s="3" t="str">
        <f ca="1">IF(E21, "", IF(AND(G21, D21), "R = L / (t2 - t1)", ""))</f>
        <v/>
      </c>
      <c r="F28" s="3" t="str">
        <f ca="1">IF(F21, "", IF(AND(C21, D21), "Δ = d + L / R", ""))</f>
        <v/>
      </c>
      <c r="G28" s="18" t="str">
        <f ca="1">IF(G21, "", IF(AND(D21, E21), "L = L / R * R", ""))</f>
        <v/>
      </c>
    </row>
    <row r="29" spans="2:7" ht="12.95">
      <c r="B29" s="15" t="s">
        <v>159</v>
      </c>
      <c r="C29" s="3" t="str">
        <f t="shared" ref="C29:G29" ca="1" si="9">IF(C27, C26&amp;" "&amp;C$4, "")</f>
        <v>182 s</v>
      </c>
      <c r="D29" s="3" t="str">
        <f t="shared" ca="1" si="9"/>
        <v>4000 s</v>
      </c>
      <c r="E29" s="3" t="str">
        <f t="shared" ca="1" si="9"/>
        <v>20000000 bps</v>
      </c>
      <c r="F29" s="3" t="str">
        <f t="shared" ca="1" si="9"/>
        <v>4182 s</v>
      </c>
      <c r="G29" s="18" t="str">
        <f t="shared" ca="1" si="9"/>
        <v>80000000000 b</v>
      </c>
    </row>
    <row r="30" spans="2:7" ht="12.95">
      <c r="B30" s="15" t="s">
        <v>157</v>
      </c>
      <c r="C30" s="3" t="str">
        <f t="shared" ref="C30:G30" ca="1" si="10">IF(EXACT(C28, ""),"", C28&amp;" = "&amp;C29)</f>
        <v/>
      </c>
      <c r="D30" s="3" t="str">
        <f t="shared" ca="1" si="10"/>
        <v/>
      </c>
      <c r="E30" s="3" t="str">
        <f t="shared" ca="1" si="10"/>
        <v/>
      </c>
      <c r="F30" s="3" t="str">
        <f t="shared" ca="1" si="10"/>
        <v/>
      </c>
      <c r="G30" s="18" t="str">
        <f t="shared" ca="1" si="10"/>
        <v/>
      </c>
    </row>
    <row r="31" spans="2:7" ht="12.95">
      <c r="B31" s="19"/>
      <c r="G31" s="18"/>
    </row>
    <row r="32" spans="2:7" ht="12.95" hidden="1">
      <c r="B32" s="19" t="s">
        <v>154</v>
      </c>
      <c r="C32" s="3">
        <f ca="1">IF(C27, C26, IF(AND(F27, D27), F26-D26, ""))</f>
        <v>182</v>
      </c>
      <c r="D32" s="3">
        <f ca="1">IF(D27, D26, IF(AND(G27, E27), G26 / E26, IF(AND(F27, C27), F26 - C26, "")))</f>
        <v>4000</v>
      </c>
      <c r="E32" s="3">
        <f ca="1">IF(E27, E26, IF(AND(G27, D27), G26/D26, ""))</f>
        <v>20000000</v>
      </c>
      <c r="F32" s="3">
        <f ca="1">IF(F27, F26, IF(AND(C27, D27), C26 + D26, ""))</f>
        <v>4182</v>
      </c>
      <c r="G32" s="18">
        <f ca="1">IF(G27, G26, IF(AND(D27, E27), D26*E26, ""))</f>
        <v>80000000000</v>
      </c>
    </row>
    <row r="33" spans="2:7" ht="12.95" hidden="1">
      <c r="B33" s="19" t="s">
        <v>152</v>
      </c>
      <c r="C33" s="3" t="b">
        <f t="shared" ref="C33:G33" ca="1" si="11">NOT(OR(ISBLANK(B32),EXACT(C32, "")  ))</f>
        <v>1</v>
      </c>
      <c r="D33" s="3" t="b">
        <f t="shared" ca="1" si="11"/>
        <v>1</v>
      </c>
      <c r="E33" s="3" t="b">
        <f t="shared" ca="1" si="11"/>
        <v>1</v>
      </c>
      <c r="F33" s="3" t="b">
        <f t="shared" ca="1" si="11"/>
        <v>1</v>
      </c>
      <c r="G33" s="18" t="b">
        <f t="shared" ca="1" si="11"/>
        <v>1</v>
      </c>
    </row>
    <row r="34" spans="2:7" ht="12.95" hidden="1">
      <c r="B34" s="19" t="s">
        <v>155</v>
      </c>
      <c r="C34" s="3" t="str">
        <f ca="1">IF(C27, "", IF(AND(F27, D27), "d = Δ - L / R", ""))</f>
        <v/>
      </c>
      <c r="D34" s="3" t="str">
        <f ca="1">IF(D27, "", IF(AND(G27, E27), "packetization = L / R", IF(AND(F27, C27), "L / R = Δ - d", "")))</f>
        <v/>
      </c>
      <c r="E34" s="3" t="str">
        <f ca="1">IF(E27, "", IF(AND(G27, D27), "R = L / (t2 - t1)", ""))</f>
        <v/>
      </c>
      <c r="F34" s="3" t="str">
        <f ca="1">IF(F27, "", IF(AND(C27, D27), "Δ = d + L / R", ""))</f>
        <v/>
      </c>
      <c r="G34" s="18" t="str">
        <f ca="1">IF(G27, "", IF(AND(D27, E27), "L = L / R * R", ""))</f>
        <v/>
      </c>
    </row>
    <row r="35" spans="2:7" ht="12.95">
      <c r="B35" s="15" t="s">
        <v>160</v>
      </c>
      <c r="C35" s="3" t="str">
        <f t="shared" ref="C35:G35" ca="1" si="12">IF(C33, C32&amp;" "&amp;C$4, "")</f>
        <v>182 s</v>
      </c>
      <c r="D35" s="3" t="str">
        <f t="shared" ca="1" si="12"/>
        <v>4000 s</v>
      </c>
      <c r="E35" s="3" t="str">
        <f t="shared" ca="1" si="12"/>
        <v>20000000 bps</v>
      </c>
      <c r="F35" s="3" t="str">
        <f t="shared" ca="1" si="12"/>
        <v>4182 s</v>
      </c>
      <c r="G35" s="18" t="str">
        <f t="shared" ca="1" si="12"/>
        <v>80000000000 b</v>
      </c>
    </row>
    <row r="36" spans="2:7" ht="12.95">
      <c r="B36" s="22" t="s">
        <v>157</v>
      </c>
      <c r="C36" s="23" t="str">
        <f t="shared" ref="C36:G36" ca="1" si="13">IF(EXACT(C34, ""),"", C34&amp;" = "&amp;C35)</f>
        <v/>
      </c>
      <c r="D36" s="23" t="str">
        <f t="shared" ca="1" si="13"/>
        <v/>
      </c>
      <c r="E36" s="23" t="str">
        <f t="shared" ca="1" si="13"/>
        <v/>
      </c>
      <c r="F36" s="23" t="str">
        <f t="shared" ca="1" si="13"/>
        <v/>
      </c>
      <c r="G36" s="24" t="str">
        <f t="shared" ca="1" si="13"/>
        <v/>
      </c>
    </row>
    <row r="40" spans="2:7" ht="12.95">
      <c r="B40" s="42" t="s">
        <v>161</v>
      </c>
      <c r="C40" s="25" t="s">
        <v>162</v>
      </c>
    </row>
    <row r="41" spans="2:7" ht="12.95">
      <c r="B41" s="15" t="s">
        <v>163</v>
      </c>
      <c r="C41" s="18">
        <f ca="1">D32</f>
        <v>4000</v>
      </c>
      <c r="E41" s="42" t="s">
        <v>164</v>
      </c>
      <c r="F41" s="26" t="s">
        <v>165</v>
      </c>
      <c r="G41" s="25" t="s">
        <v>166</v>
      </c>
    </row>
    <row r="42" spans="2:7" ht="12.95">
      <c r="B42" s="15" t="s">
        <v>167</v>
      </c>
      <c r="C42" s="18" t="str">
        <f ca="1">D42</f>
        <v>364 s</v>
      </c>
      <c r="D42" s="27" t="str">
        <f ca="1">2*C32&amp;" s"</f>
        <v>364 s</v>
      </c>
      <c r="E42" s="15" t="s">
        <v>144</v>
      </c>
      <c r="F42" s="3" t="s">
        <v>168</v>
      </c>
      <c r="G42" s="18">
        <v>2</v>
      </c>
    </row>
    <row r="43" spans="2:7" ht="12.95" hidden="1">
      <c r="B43" s="19" t="s">
        <v>169</v>
      </c>
      <c r="C43" s="18">
        <f ca="1">IFERROR(__xludf.DUMMYFUNCTION(" IF(not(ISBLANK(C42)), VALUE(REGEXREPLACE(C42,""[^([:digit:]|.)]"", """")), """")"),364)</f>
        <v>364</v>
      </c>
      <c r="E43" s="19" t="s">
        <v>148</v>
      </c>
      <c r="F43" s="3">
        <f ca="1">IFERROR(__xludf.DUMMYFUNCTION(" IF(not(ISBLANK(F42)), VALUE(REGEXREPLACE(F42,""[^([:digit:]|.)]"", """")), """")"),1136.68)</f>
        <v>1136.68</v>
      </c>
      <c r="G43" s="18" t="str">
        <f ca="1">IFERROR(__xludf.DUMMYFUNCTION(" IF(not(ISBLANK(G42)), VALUE(REGEXREPLACE(G42,""[^([:digit:]|.)]"", """")), """")"),"#VALUE!")</f>
        <v>#VALUE!</v>
      </c>
    </row>
    <row r="44" spans="2:7" ht="12.95" hidden="1">
      <c r="B44" s="19" t="s">
        <v>170</v>
      </c>
      <c r="C44" s="18" t="str">
        <f ca="1">IFERROR(__xludf.DUMMYFUNCTION("REGEXREPLACE(C42,""[^[:alpha:]]"", """")"),"s")</f>
        <v>s</v>
      </c>
      <c r="E44" s="19" t="s">
        <v>149</v>
      </c>
      <c r="F44" s="3" t="str">
        <f ca="1">IFERROR(__xludf.DUMMYFUNCTION("REGEXREPLACE(F42,""[^[:alpha:]]"", """")"),"m")</f>
        <v>m</v>
      </c>
      <c r="G44" s="18" t="str">
        <f ca="1">IFERROR(__xludf.DUMMYFUNCTION("REGEXREPLACE(G42,""[^[:alpha:]]"", """")"),"#VALUE!")</f>
        <v>#VALUE!</v>
      </c>
    </row>
    <row r="45" spans="2:7" ht="12.95">
      <c r="B45" s="15" t="s">
        <v>171</v>
      </c>
      <c r="C45" s="18">
        <v>364</v>
      </c>
      <c r="E45" s="15" t="s">
        <v>150</v>
      </c>
      <c r="F45" s="3">
        <v>1136.68</v>
      </c>
      <c r="G45" s="18" t="s">
        <v>151</v>
      </c>
    </row>
    <row r="46" spans="2:7" ht="12.95">
      <c r="B46" s="22" t="s">
        <v>172</v>
      </c>
      <c r="C46" s="43">
        <f ca="1">C41 / (C41 + C45)</f>
        <v>0.91659028414298804</v>
      </c>
      <c r="E46" s="22" t="s">
        <v>173</v>
      </c>
      <c r="F46" s="23" t="str">
        <f>IFERROR(300000000/G45, "")</f>
        <v/>
      </c>
      <c r="G46" s="24">
        <f>IFERROR(300000000/F45, "")</f>
        <v>263926.52285603684</v>
      </c>
    </row>
    <row r="49" spans="4:4" ht="12.95">
      <c r="D49" s="3"/>
    </row>
    <row r="68" spans="8:8" ht="12.95" hidden="1"/>
    <row r="69" spans="8:8" ht="12.95" hidden="1"/>
    <row r="72" spans="8:8" ht="12.95">
      <c r="H72" s="7"/>
    </row>
  </sheetData>
  <conditionalFormatting sqref="C16:G16 C22:G22 C28:G28 C34:G34">
    <cfRule type="cellIs" dxfId="1" priority="1" operator="equal">
      <formula>"Prev"</formula>
    </cfRule>
  </conditionalFormatting>
  <conditionalFormatting sqref="C18:G18 C24:G24 C30:G30 C36:G36">
    <cfRule type="notContainsBlanks" dxfId="0" priority="2">
      <formula>LEN(TRIM(C18))&gt;0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41"/>
  <sheetViews>
    <sheetView tabSelected="1" topLeftCell="H1" workbookViewId="0">
      <selection activeCell="K12" sqref="K12"/>
    </sheetView>
  </sheetViews>
  <sheetFormatPr defaultColWidth="14.42578125" defaultRowHeight="15.75" customHeight="1"/>
  <cols>
    <col min="2" max="2" width="17.28515625" customWidth="1"/>
    <col min="7" max="7" width="20.7109375" customWidth="1"/>
    <col min="10" max="10" width="17" customWidth="1"/>
    <col min="11" max="11" width="16.28515625" customWidth="1"/>
    <col min="15" max="15" width="17.42578125" customWidth="1"/>
    <col min="16" max="16" width="15.85546875" customWidth="1"/>
  </cols>
  <sheetData>
    <row r="1" spans="1:16" ht="15.75" customHeight="1">
      <c r="A1" s="1"/>
    </row>
    <row r="3" spans="1:16" ht="12.95">
      <c r="B3" s="42" t="s">
        <v>174</v>
      </c>
      <c r="C3" s="14">
        <v>1</v>
      </c>
      <c r="E3" s="46" t="s">
        <v>175</v>
      </c>
      <c r="F3" s="47"/>
      <c r="G3" s="47"/>
      <c r="H3" s="48"/>
      <c r="J3" s="42" t="s">
        <v>174</v>
      </c>
      <c r="K3" s="28">
        <v>1</v>
      </c>
      <c r="M3" s="46" t="s">
        <v>176</v>
      </c>
      <c r="N3" s="47"/>
      <c r="O3" s="47"/>
      <c r="P3" s="48"/>
    </row>
    <row r="4" spans="1:16" ht="12.95">
      <c r="B4" s="15" t="s">
        <v>177</v>
      </c>
      <c r="C4" s="29">
        <v>2</v>
      </c>
      <c r="E4" s="15" t="s">
        <v>178</v>
      </c>
      <c r="F4" s="7" t="s">
        <v>179</v>
      </c>
      <c r="G4" s="7" t="s">
        <v>180</v>
      </c>
      <c r="H4" s="16" t="s">
        <v>181</v>
      </c>
      <c r="J4" s="15" t="s">
        <v>182</v>
      </c>
      <c r="K4" s="30">
        <v>3</v>
      </c>
      <c r="M4" s="15" t="s">
        <v>178</v>
      </c>
      <c r="N4" s="7" t="s">
        <v>179</v>
      </c>
      <c r="O4" s="7" t="s">
        <v>183</v>
      </c>
      <c r="P4" s="16" t="s">
        <v>181</v>
      </c>
    </row>
    <row r="5" spans="1:16" ht="12.95">
      <c r="B5" s="22" t="s">
        <v>184</v>
      </c>
      <c r="C5" s="31" t="s">
        <v>185</v>
      </c>
      <c r="E5" s="19">
        <v>1</v>
      </c>
      <c r="F5" s="3">
        <f>C3</f>
        <v>1</v>
      </c>
      <c r="G5" s="3" t="s">
        <v>186</v>
      </c>
      <c r="H5" s="18" t="str">
        <f>MID($C$5, 1, F5)</f>
        <v>A</v>
      </c>
      <c r="J5" s="22" t="s">
        <v>184</v>
      </c>
      <c r="K5" s="24" t="s">
        <v>187</v>
      </c>
      <c r="M5" s="19">
        <v>1</v>
      </c>
      <c r="N5" s="32">
        <f>$K$4</f>
        <v>3</v>
      </c>
      <c r="O5" s="3" t="s">
        <v>188</v>
      </c>
      <c r="P5" s="18" t="str">
        <f>MID(K5, 1, N5)</f>
        <v>a83</v>
      </c>
    </row>
    <row r="6" spans="1:16" ht="12.95">
      <c r="E6" s="19">
        <v>2</v>
      </c>
      <c r="F6" s="3">
        <v>2</v>
      </c>
      <c r="G6" s="3" t="str">
        <f t="shared" ref="G6:G37" si="0">IF(F6&gt;$C$4, "CA", "SS")</f>
        <v>SS</v>
      </c>
      <c r="H6" s="18" t="str">
        <f t="shared" ref="H6:H37" si="1">MID($C$5, SUM($F$5:F5) + 1, F6)</f>
        <v>BC</v>
      </c>
      <c r="M6" s="19">
        <v>2</v>
      </c>
      <c r="N6" s="3">
        <v>14746</v>
      </c>
      <c r="O6" s="3" t="s">
        <v>188</v>
      </c>
      <c r="P6" s="18" t="str">
        <f t="shared" ref="P6:P37" si="2">MID($C$5, SUM($F$5:N5) + 1, N6)</f>
        <v>\</v>
      </c>
    </row>
    <row r="7" spans="1:16" ht="12.95">
      <c r="E7" s="19">
        <v>3</v>
      </c>
      <c r="F7" s="3">
        <v>4</v>
      </c>
      <c r="G7" s="3" t="str">
        <f t="shared" si="0"/>
        <v>CA</v>
      </c>
      <c r="H7" s="18" t="str">
        <f t="shared" si="1"/>
        <v>DE\</v>
      </c>
      <c r="M7" s="19">
        <v>3</v>
      </c>
      <c r="N7" s="3">
        <v>14892</v>
      </c>
      <c r="O7" s="3" t="s">
        <v>188</v>
      </c>
      <c r="P7" s="18" t="str">
        <f t="shared" si="2"/>
        <v/>
      </c>
    </row>
    <row r="8" spans="1:16" ht="12.95">
      <c r="E8" s="19">
        <v>4</v>
      </c>
      <c r="F8" s="3">
        <v>5</v>
      </c>
      <c r="G8" s="3" t="str">
        <f t="shared" si="0"/>
        <v>CA</v>
      </c>
      <c r="H8" s="18" t="str">
        <f t="shared" si="1"/>
        <v/>
      </c>
      <c r="M8" s="19">
        <v>4</v>
      </c>
      <c r="N8" s="3">
        <v>15038</v>
      </c>
      <c r="O8" s="3" t="s">
        <v>188</v>
      </c>
      <c r="P8" s="18" t="str">
        <f t="shared" si="2"/>
        <v/>
      </c>
    </row>
    <row r="9" spans="1:16" ht="12.95">
      <c r="E9" s="19">
        <v>5</v>
      </c>
      <c r="F9" s="3">
        <v>6</v>
      </c>
      <c r="G9" s="3" t="str">
        <f t="shared" si="0"/>
        <v>CA</v>
      </c>
      <c r="H9" s="18" t="str">
        <f t="shared" si="1"/>
        <v/>
      </c>
      <c r="M9" s="19">
        <v>5</v>
      </c>
      <c r="N9" s="3">
        <v>15184</v>
      </c>
      <c r="O9" s="3" t="s">
        <v>188</v>
      </c>
      <c r="P9" s="18" t="str">
        <f t="shared" si="2"/>
        <v/>
      </c>
    </row>
    <row r="10" spans="1:16" ht="12.95">
      <c r="E10" s="19">
        <v>6</v>
      </c>
      <c r="F10" s="3">
        <v>7</v>
      </c>
      <c r="G10" s="3" t="str">
        <f t="shared" si="0"/>
        <v>CA</v>
      </c>
      <c r="H10" s="18" t="str">
        <f t="shared" si="1"/>
        <v/>
      </c>
      <c r="M10" s="19">
        <v>6</v>
      </c>
      <c r="N10" s="3">
        <v>15330</v>
      </c>
      <c r="O10" s="3" t="s">
        <v>188</v>
      </c>
      <c r="P10" s="18" t="str">
        <f t="shared" si="2"/>
        <v/>
      </c>
    </row>
    <row r="11" spans="1:16" ht="12.95">
      <c r="E11" s="19">
        <v>7</v>
      </c>
      <c r="F11" s="3">
        <v>8</v>
      </c>
      <c r="G11" s="3" t="str">
        <f t="shared" si="0"/>
        <v>CA</v>
      </c>
      <c r="H11" s="18" t="str">
        <f t="shared" si="1"/>
        <v/>
      </c>
      <c r="M11" s="19">
        <v>7</v>
      </c>
      <c r="N11" s="3">
        <v>15476</v>
      </c>
      <c r="O11" s="3" t="s">
        <v>188</v>
      </c>
      <c r="P11" s="18" t="str">
        <f t="shared" si="2"/>
        <v/>
      </c>
    </row>
    <row r="12" spans="1:16" ht="14.1">
      <c r="E12" s="19">
        <v>8</v>
      </c>
      <c r="F12" s="3">
        <v>9</v>
      </c>
      <c r="G12" s="3" t="str">
        <f t="shared" si="0"/>
        <v>CA</v>
      </c>
      <c r="H12" s="18" t="str">
        <f t="shared" si="1"/>
        <v/>
      </c>
      <c r="I12" s="33"/>
      <c r="M12" s="19">
        <v>8</v>
      </c>
      <c r="N12" s="3">
        <v>15622</v>
      </c>
      <c r="O12" s="3" t="s">
        <v>188</v>
      </c>
      <c r="P12" s="18" t="str">
        <f t="shared" si="2"/>
        <v/>
      </c>
    </row>
    <row r="13" spans="1:16" ht="12.95">
      <c r="E13" s="19">
        <v>9</v>
      </c>
      <c r="F13" s="3">
        <v>10</v>
      </c>
      <c r="G13" s="3" t="str">
        <f t="shared" si="0"/>
        <v>CA</v>
      </c>
      <c r="H13" s="18" t="str">
        <f t="shared" si="1"/>
        <v/>
      </c>
      <c r="M13" s="19">
        <v>9</v>
      </c>
      <c r="N13" s="3">
        <v>15768</v>
      </c>
      <c r="O13" s="3" t="s">
        <v>188</v>
      </c>
      <c r="P13" s="18" t="str">
        <f t="shared" si="2"/>
        <v/>
      </c>
    </row>
    <row r="14" spans="1:16" ht="12.95">
      <c r="E14" s="19">
        <v>10</v>
      </c>
      <c r="F14" s="3">
        <v>11</v>
      </c>
      <c r="G14" s="3" t="str">
        <f t="shared" si="0"/>
        <v>CA</v>
      </c>
      <c r="H14" s="18" t="str">
        <f t="shared" si="1"/>
        <v/>
      </c>
      <c r="M14" s="19">
        <v>10</v>
      </c>
      <c r="N14" s="3">
        <v>15914</v>
      </c>
      <c r="O14" s="3" t="s">
        <v>188</v>
      </c>
      <c r="P14" s="18" t="str">
        <f t="shared" si="2"/>
        <v/>
      </c>
    </row>
    <row r="15" spans="1:16" ht="12.95">
      <c r="E15" s="19">
        <v>11</v>
      </c>
      <c r="F15" s="3">
        <v>12</v>
      </c>
      <c r="G15" s="3" t="str">
        <f t="shared" si="0"/>
        <v>CA</v>
      </c>
      <c r="H15" s="18" t="str">
        <f t="shared" si="1"/>
        <v/>
      </c>
      <c r="M15" s="19">
        <v>11</v>
      </c>
      <c r="N15" s="3">
        <v>16060</v>
      </c>
      <c r="O15" s="3" t="s">
        <v>189</v>
      </c>
      <c r="P15" s="18" t="str">
        <f t="shared" si="2"/>
        <v/>
      </c>
    </row>
    <row r="16" spans="1:16" ht="12.95">
      <c r="E16" s="19">
        <v>12</v>
      </c>
      <c r="F16" s="3">
        <v>13</v>
      </c>
      <c r="G16" s="3" t="str">
        <f t="shared" si="0"/>
        <v>CA</v>
      </c>
      <c r="H16" s="18" t="str">
        <f t="shared" si="1"/>
        <v/>
      </c>
      <c r="M16" s="19">
        <v>12</v>
      </c>
      <c r="N16" s="3">
        <v>8030</v>
      </c>
      <c r="O16" s="3" t="s">
        <v>189</v>
      </c>
      <c r="P16" s="18" t="str">
        <f t="shared" si="2"/>
        <v/>
      </c>
    </row>
    <row r="17" spans="5:16" ht="12.95">
      <c r="E17" s="19">
        <v>13</v>
      </c>
      <c r="F17" s="3">
        <v>14</v>
      </c>
      <c r="G17" s="3" t="str">
        <f t="shared" si="0"/>
        <v>CA</v>
      </c>
      <c r="H17" s="18" t="str">
        <f t="shared" si="1"/>
        <v/>
      </c>
      <c r="M17" s="19">
        <v>13</v>
      </c>
      <c r="N17" s="3">
        <v>4015</v>
      </c>
      <c r="O17" s="3" t="s">
        <v>189</v>
      </c>
      <c r="P17" s="18" t="str">
        <f t="shared" si="2"/>
        <v/>
      </c>
    </row>
    <row r="18" spans="5:16" ht="12.95">
      <c r="E18" s="19">
        <v>14</v>
      </c>
      <c r="F18" s="3">
        <v>15</v>
      </c>
      <c r="G18" s="3" t="str">
        <f t="shared" si="0"/>
        <v>CA</v>
      </c>
      <c r="H18" s="18" t="str">
        <f t="shared" si="1"/>
        <v/>
      </c>
      <c r="M18" s="19">
        <v>14</v>
      </c>
      <c r="N18" s="3">
        <v>2008</v>
      </c>
      <c r="O18" s="3" t="s">
        <v>189</v>
      </c>
      <c r="P18" s="18" t="str">
        <f t="shared" si="2"/>
        <v/>
      </c>
    </row>
    <row r="19" spans="5:16" ht="12.95">
      <c r="E19" s="19">
        <v>15</v>
      </c>
      <c r="F19" s="3">
        <v>16</v>
      </c>
      <c r="G19" s="3" t="str">
        <f t="shared" si="0"/>
        <v>CA</v>
      </c>
      <c r="H19" s="18" t="str">
        <f t="shared" si="1"/>
        <v/>
      </c>
      <c r="M19" s="19">
        <v>15</v>
      </c>
      <c r="N19" s="3">
        <v>1004</v>
      </c>
      <c r="O19" s="3" t="s">
        <v>189</v>
      </c>
      <c r="P19" s="18" t="str">
        <f t="shared" si="2"/>
        <v/>
      </c>
    </row>
    <row r="20" spans="5:16" ht="12.95">
      <c r="E20" s="19">
        <v>16</v>
      </c>
      <c r="F20" s="3">
        <v>17</v>
      </c>
      <c r="G20" s="3" t="str">
        <f t="shared" si="0"/>
        <v>CA</v>
      </c>
      <c r="H20" s="18" t="str">
        <f t="shared" si="1"/>
        <v/>
      </c>
      <c r="M20" s="19">
        <v>16</v>
      </c>
      <c r="N20" s="3">
        <v>502</v>
      </c>
      <c r="O20" s="3" t="s">
        <v>189</v>
      </c>
      <c r="P20" s="18" t="str">
        <f t="shared" si="2"/>
        <v/>
      </c>
    </row>
    <row r="21" spans="5:16" ht="12.95">
      <c r="E21" s="19">
        <v>17</v>
      </c>
      <c r="F21" s="3">
        <v>18</v>
      </c>
      <c r="G21" s="3" t="str">
        <f t="shared" si="0"/>
        <v>CA</v>
      </c>
      <c r="H21" s="18" t="str">
        <f t="shared" si="1"/>
        <v/>
      </c>
      <c r="M21" s="19">
        <v>17</v>
      </c>
      <c r="N21" s="3">
        <v>251</v>
      </c>
      <c r="O21" s="3" t="s">
        <v>189</v>
      </c>
      <c r="P21" s="18" t="str">
        <f t="shared" si="2"/>
        <v/>
      </c>
    </row>
    <row r="22" spans="5:16" ht="12.95">
      <c r="E22" s="19">
        <v>18</v>
      </c>
      <c r="F22" s="3">
        <v>19</v>
      </c>
      <c r="G22" s="3" t="str">
        <f t="shared" si="0"/>
        <v>CA</v>
      </c>
      <c r="H22" s="18" t="str">
        <f t="shared" si="1"/>
        <v/>
      </c>
      <c r="M22" s="19">
        <v>18</v>
      </c>
      <c r="N22" s="3">
        <v>126</v>
      </c>
      <c r="O22" s="3" t="s">
        <v>189</v>
      </c>
      <c r="P22" s="18" t="str">
        <f t="shared" si="2"/>
        <v/>
      </c>
    </row>
    <row r="23" spans="5:16" ht="12.95">
      <c r="E23" s="19">
        <v>19</v>
      </c>
      <c r="F23" s="3">
        <v>20</v>
      </c>
      <c r="G23" s="3" t="str">
        <f t="shared" si="0"/>
        <v>CA</v>
      </c>
      <c r="H23" s="18" t="str">
        <f t="shared" si="1"/>
        <v/>
      </c>
      <c r="M23" s="19">
        <v>19</v>
      </c>
      <c r="N23" s="3">
        <v>63</v>
      </c>
      <c r="O23" s="3" t="s">
        <v>189</v>
      </c>
      <c r="P23" s="18" t="str">
        <f t="shared" si="2"/>
        <v/>
      </c>
    </row>
    <row r="24" spans="5:16" ht="12.95">
      <c r="E24" s="19">
        <v>20</v>
      </c>
      <c r="F24" s="3">
        <v>21</v>
      </c>
      <c r="G24" s="3" t="str">
        <f t="shared" si="0"/>
        <v>CA</v>
      </c>
      <c r="H24" s="18" t="str">
        <f t="shared" si="1"/>
        <v/>
      </c>
      <c r="M24" s="19">
        <v>20</v>
      </c>
      <c r="N24" s="3">
        <v>32</v>
      </c>
      <c r="O24" s="3" t="s">
        <v>189</v>
      </c>
      <c r="P24" s="18" t="str">
        <f t="shared" si="2"/>
        <v/>
      </c>
    </row>
    <row r="25" spans="5:16" ht="12.95">
      <c r="E25" s="19">
        <v>21</v>
      </c>
      <c r="F25" s="3">
        <v>22</v>
      </c>
      <c r="G25" s="3" t="str">
        <f t="shared" si="0"/>
        <v>CA</v>
      </c>
      <c r="H25" s="18" t="str">
        <f t="shared" si="1"/>
        <v/>
      </c>
      <c r="M25" s="19">
        <v>21</v>
      </c>
      <c r="N25" s="3">
        <v>16</v>
      </c>
      <c r="O25" s="3" t="s">
        <v>189</v>
      </c>
      <c r="P25" s="18" t="str">
        <f t="shared" si="2"/>
        <v/>
      </c>
    </row>
    <row r="26" spans="5:16" ht="12.95">
      <c r="E26" s="19">
        <v>22</v>
      </c>
      <c r="F26" s="3">
        <v>23</v>
      </c>
      <c r="G26" s="3" t="str">
        <f t="shared" si="0"/>
        <v>CA</v>
      </c>
      <c r="H26" s="18" t="str">
        <f t="shared" si="1"/>
        <v/>
      </c>
      <c r="M26" s="19">
        <v>22</v>
      </c>
      <c r="N26" s="3">
        <v>8</v>
      </c>
      <c r="O26" s="3" t="s">
        <v>189</v>
      </c>
      <c r="P26" s="18" t="str">
        <f t="shared" si="2"/>
        <v/>
      </c>
    </row>
    <row r="27" spans="5:16" ht="12.95">
      <c r="E27" s="19">
        <v>23</v>
      </c>
      <c r="F27" s="3">
        <v>24</v>
      </c>
      <c r="G27" s="3" t="str">
        <f t="shared" si="0"/>
        <v>CA</v>
      </c>
      <c r="H27" s="18" t="str">
        <f t="shared" si="1"/>
        <v/>
      </c>
      <c r="M27" s="19">
        <v>23</v>
      </c>
      <c r="N27" s="3">
        <v>4</v>
      </c>
      <c r="O27" s="3" t="s">
        <v>189</v>
      </c>
      <c r="P27" s="18" t="str">
        <f t="shared" si="2"/>
        <v/>
      </c>
    </row>
    <row r="28" spans="5:16" ht="12.95">
      <c r="E28" s="19">
        <v>24</v>
      </c>
      <c r="F28" s="3">
        <v>25</v>
      </c>
      <c r="G28" s="3" t="str">
        <f t="shared" si="0"/>
        <v>CA</v>
      </c>
      <c r="H28" s="18" t="str">
        <f t="shared" si="1"/>
        <v/>
      </c>
      <c r="M28" s="19">
        <v>24</v>
      </c>
      <c r="N28" s="3">
        <v>2</v>
      </c>
      <c r="O28" s="3" t="s">
        <v>189</v>
      </c>
      <c r="P28" s="18" t="str">
        <f t="shared" si="2"/>
        <v/>
      </c>
    </row>
    <row r="29" spans="5:16" ht="12.95">
      <c r="E29" s="19">
        <v>25</v>
      </c>
      <c r="F29" s="3">
        <v>26</v>
      </c>
      <c r="G29" s="3" t="str">
        <f t="shared" si="0"/>
        <v>CA</v>
      </c>
      <c r="H29" s="18" t="str">
        <f t="shared" si="1"/>
        <v/>
      </c>
      <c r="M29" s="19">
        <v>25</v>
      </c>
      <c r="N29" s="3">
        <v>1</v>
      </c>
      <c r="O29" s="3" t="s">
        <v>189</v>
      </c>
      <c r="P29" s="18" t="str">
        <f t="shared" si="2"/>
        <v/>
      </c>
    </row>
    <row r="30" spans="5:16" ht="12.95">
      <c r="E30" s="19">
        <v>26</v>
      </c>
      <c r="F30" s="3">
        <v>27</v>
      </c>
      <c r="G30" s="3" t="str">
        <f t="shared" si="0"/>
        <v>CA</v>
      </c>
      <c r="H30" s="18" t="str">
        <f t="shared" si="1"/>
        <v/>
      </c>
      <c r="M30" s="19">
        <v>26</v>
      </c>
      <c r="N30" s="3">
        <v>1</v>
      </c>
      <c r="O30" s="3" t="s">
        <v>189</v>
      </c>
      <c r="P30" s="18" t="str">
        <f t="shared" si="2"/>
        <v/>
      </c>
    </row>
    <row r="31" spans="5:16" ht="12.95">
      <c r="E31" s="19">
        <v>27</v>
      </c>
      <c r="F31" s="3">
        <v>28</v>
      </c>
      <c r="G31" s="3" t="str">
        <f t="shared" si="0"/>
        <v>CA</v>
      </c>
      <c r="H31" s="18" t="str">
        <f t="shared" si="1"/>
        <v/>
      </c>
      <c r="M31" s="19">
        <v>27</v>
      </c>
      <c r="N31" s="3">
        <v>1</v>
      </c>
      <c r="O31" s="3" t="s">
        <v>189</v>
      </c>
      <c r="P31" s="18" t="str">
        <f t="shared" si="2"/>
        <v/>
      </c>
    </row>
    <row r="32" spans="5:16" ht="12.95">
      <c r="E32" s="19">
        <v>28</v>
      </c>
      <c r="F32" s="3">
        <v>29</v>
      </c>
      <c r="G32" s="3" t="str">
        <f t="shared" si="0"/>
        <v>CA</v>
      </c>
      <c r="H32" s="18" t="str">
        <f t="shared" si="1"/>
        <v/>
      </c>
      <c r="M32" s="19">
        <v>28</v>
      </c>
      <c r="N32" s="3">
        <v>1</v>
      </c>
      <c r="O32" s="3" t="s">
        <v>189</v>
      </c>
      <c r="P32" s="18" t="str">
        <f t="shared" si="2"/>
        <v/>
      </c>
    </row>
    <row r="33" spans="2:16" ht="12.95">
      <c r="E33" s="19">
        <v>29</v>
      </c>
      <c r="F33" s="3">
        <v>30</v>
      </c>
      <c r="G33" s="3" t="str">
        <f t="shared" si="0"/>
        <v>CA</v>
      </c>
      <c r="H33" s="18" t="str">
        <f t="shared" si="1"/>
        <v/>
      </c>
      <c r="M33" s="19">
        <v>29</v>
      </c>
      <c r="N33" s="3">
        <v>1</v>
      </c>
      <c r="O33" s="3" t="s">
        <v>189</v>
      </c>
      <c r="P33" s="18" t="str">
        <f t="shared" si="2"/>
        <v/>
      </c>
    </row>
    <row r="34" spans="2:16" ht="12.95">
      <c r="E34" s="19">
        <v>30</v>
      </c>
      <c r="F34" s="3">
        <v>31</v>
      </c>
      <c r="G34" s="3" t="str">
        <f t="shared" si="0"/>
        <v>CA</v>
      </c>
      <c r="H34" s="18" t="str">
        <f t="shared" si="1"/>
        <v/>
      </c>
      <c r="M34" s="19">
        <v>30</v>
      </c>
      <c r="N34" s="3">
        <v>1</v>
      </c>
      <c r="O34" s="3" t="s">
        <v>189</v>
      </c>
      <c r="P34" s="18" t="str">
        <f t="shared" si="2"/>
        <v/>
      </c>
    </row>
    <row r="35" spans="2:16" ht="12.95">
      <c r="E35" s="19">
        <v>31</v>
      </c>
      <c r="F35" s="3">
        <v>32</v>
      </c>
      <c r="G35" s="3" t="str">
        <f t="shared" si="0"/>
        <v>CA</v>
      </c>
      <c r="H35" s="18" t="str">
        <f t="shared" si="1"/>
        <v/>
      </c>
      <c r="M35" s="19">
        <v>31</v>
      </c>
      <c r="N35" s="3">
        <v>1</v>
      </c>
      <c r="O35" s="3" t="s">
        <v>189</v>
      </c>
      <c r="P35" s="18" t="str">
        <f t="shared" si="2"/>
        <v/>
      </c>
    </row>
    <row r="36" spans="2:16" ht="12.95">
      <c r="E36" s="19">
        <v>32</v>
      </c>
      <c r="F36" s="3">
        <v>33</v>
      </c>
      <c r="G36" s="3" t="str">
        <f t="shared" si="0"/>
        <v>CA</v>
      </c>
      <c r="H36" s="18" t="str">
        <f t="shared" si="1"/>
        <v/>
      </c>
      <c r="M36" s="19">
        <v>32</v>
      </c>
      <c r="N36" s="3">
        <v>1</v>
      </c>
      <c r="O36" s="3" t="s">
        <v>189</v>
      </c>
      <c r="P36" s="18" t="str">
        <f t="shared" si="2"/>
        <v/>
      </c>
    </row>
    <row r="37" spans="2:16" ht="12.95">
      <c r="E37" s="34">
        <v>33</v>
      </c>
      <c r="F37" s="23">
        <v>34</v>
      </c>
      <c r="G37" s="23" t="str">
        <f t="shared" si="0"/>
        <v>CA</v>
      </c>
      <c r="H37" s="24" t="str">
        <f t="shared" si="1"/>
        <v/>
      </c>
      <c r="M37" s="34">
        <v>33</v>
      </c>
      <c r="N37" s="23">
        <v>1</v>
      </c>
      <c r="O37" s="23" t="s">
        <v>189</v>
      </c>
      <c r="P37" s="24" t="str">
        <f t="shared" si="2"/>
        <v/>
      </c>
    </row>
    <row r="41" spans="2:16" ht="12.95">
      <c r="B41" s="3" t="s">
        <v>190</v>
      </c>
    </row>
  </sheetData>
  <mergeCells count="2">
    <mergeCell ref="E3:H3"/>
    <mergeCell ref="M3:P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46"/>
  <sheetViews>
    <sheetView workbookViewId="0">
      <selection activeCell="L14" sqref="L14"/>
    </sheetView>
  </sheetViews>
  <sheetFormatPr defaultColWidth="14.42578125" defaultRowHeight="15.75" customHeight="1"/>
  <cols>
    <col min="4" max="4" width="17.42578125" customWidth="1"/>
    <col min="6" max="6" width="21.42578125" customWidth="1"/>
    <col min="7" max="8" width="14.42578125" hidden="1"/>
  </cols>
  <sheetData>
    <row r="1" spans="1:13" ht="15.75" customHeight="1">
      <c r="A1" s="1"/>
    </row>
    <row r="2" spans="1:13" ht="12.95">
      <c r="B2" s="46" t="s">
        <v>191</v>
      </c>
      <c r="C2" s="47"/>
      <c r="D2" s="48"/>
    </row>
    <row r="3" spans="1:13" ht="12.95">
      <c r="B3" s="15" t="s">
        <v>140</v>
      </c>
      <c r="C3" s="7" t="s">
        <v>192</v>
      </c>
      <c r="D3" s="16" t="s">
        <v>193</v>
      </c>
      <c r="F3" s="42" t="s">
        <v>194</v>
      </c>
      <c r="G3" s="13" t="s">
        <v>154</v>
      </c>
      <c r="H3" s="13" t="s">
        <v>195</v>
      </c>
      <c r="I3" s="26" t="s">
        <v>196</v>
      </c>
      <c r="J3" s="25" t="s">
        <v>173</v>
      </c>
      <c r="L3" s="46" t="s">
        <v>197</v>
      </c>
      <c r="M3" s="48"/>
    </row>
    <row r="4" spans="1:13" ht="12.95">
      <c r="B4" s="19" t="s">
        <v>143</v>
      </c>
      <c r="C4" s="3" t="str">
        <f t="shared" ref="C4:C13" si="0">B4&amp;"ps"</f>
        <v>bps</v>
      </c>
      <c r="D4" s="18">
        <v>10</v>
      </c>
      <c r="F4" s="35" t="s">
        <v>198</v>
      </c>
      <c r="G4" s="3">
        <f ca="1">IFERROR(__xludf.DUMMYFUNCTION(" IF(not(ISBLANK(F4)), VALUE(REGEXREPLACE(F4,""[^([:digit:]|.)]"", """")), """")"),20798.4)</f>
        <v>20798.400000000001</v>
      </c>
      <c r="H4" s="23" t="str">
        <f ca="1">IFERROR(__xludf.DUMMYFUNCTION("REGEXREPLACE(F4,""[^[:alpha:]]"", """")"),"b")</f>
        <v>b</v>
      </c>
      <c r="I4" s="23" t="s">
        <v>199</v>
      </c>
      <c r="J4" s="24">
        <f t="array" aca="1" ref="J4" ca="1">G4*INDEX($D$4:$D$13, MATCH(TRUE, EXACT($H$4, $B$4:$B$13), 0))/INDEX($D$4:$D$13, MATCH(TRUE, EXACT($I$4, $B$4:$B$13), 0))</f>
        <v>2599.8000000000002</v>
      </c>
      <c r="L4" s="19" t="s">
        <v>141</v>
      </c>
      <c r="M4" s="18">
        <v>42</v>
      </c>
    </row>
    <row r="5" spans="1:13" ht="12.95">
      <c r="B5" s="19" t="s">
        <v>200</v>
      </c>
      <c r="C5" s="3" t="str">
        <f t="shared" si="0"/>
        <v>Kbps</v>
      </c>
      <c r="D5" s="18">
        <f t="shared" ref="D5:D8" si="1">D4*10^3</f>
        <v>10000</v>
      </c>
      <c r="L5" s="19" t="s">
        <v>201</v>
      </c>
      <c r="M5" s="18">
        <v>69</v>
      </c>
    </row>
    <row r="6" spans="1:13" ht="12.95">
      <c r="B6" s="19" t="s">
        <v>202</v>
      </c>
      <c r="C6" s="3" t="str">
        <f t="shared" si="0"/>
        <v>Mbps</v>
      </c>
      <c r="D6" s="18">
        <f t="shared" si="1"/>
        <v>10000000</v>
      </c>
      <c r="L6" s="19" t="s">
        <v>203</v>
      </c>
      <c r="M6" s="18"/>
    </row>
    <row r="7" spans="1:13" ht="12.95">
      <c r="B7" s="19" t="s">
        <v>204</v>
      </c>
      <c r="C7" s="3" t="str">
        <f t="shared" si="0"/>
        <v>Gbps</v>
      </c>
      <c r="D7" s="18">
        <f t="shared" si="1"/>
        <v>10000000000</v>
      </c>
      <c r="L7" s="19" t="s">
        <v>205</v>
      </c>
      <c r="M7" s="18"/>
    </row>
    <row r="8" spans="1:13" ht="12.95">
      <c r="B8" s="19" t="s">
        <v>206</v>
      </c>
      <c r="C8" s="3" t="str">
        <f t="shared" si="0"/>
        <v>Tbps</v>
      </c>
      <c r="D8" s="18">
        <f t="shared" si="1"/>
        <v>10000000000000</v>
      </c>
      <c r="L8" s="19" t="s">
        <v>207</v>
      </c>
      <c r="M8" s="18"/>
    </row>
    <row r="9" spans="1:13" ht="12.95">
      <c r="B9" s="19" t="s">
        <v>199</v>
      </c>
      <c r="C9" s="3" t="str">
        <f t="shared" si="0"/>
        <v>Bps</v>
      </c>
      <c r="D9" s="18">
        <f t="shared" ref="D9:D13" si="2">D4*8</f>
        <v>80</v>
      </c>
      <c r="F9" s="42" t="s">
        <v>208</v>
      </c>
      <c r="G9" s="13" t="s">
        <v>154</v>
      </c>
      <c r="H9" s="13" t="s">
        <v>195</v>
      </c>
      <c r="I9" s="26" t="s">
        <v>196</v>
      </c>
      <c r="J9" s="25" t="s">
        <v>173</v>
      </c>
      <c r="L9" s="19" t="s">
        <v>209</v>
      </c>
      <c r="M9" s="36"/>
    </row>
    <row r="10" spans="1:13" ht="12.95">
      <c r="B10" s="19" t="s">
        <v>210</v>
      </c>
      <c r="C10" s="3" t="str">
        <f t="shared" si="0"/>
        <v>KBps</v>
      </c>
      <c r="D10" s="18">
        <f t="shared" si="2"/>
        <v>80000</v>
      </c>
      <c r="F10" s="35" t="s">
        <v>211</v>
      </c>
      <c r="G10" s="3">
        <f ca="1">IFERROR(__xludf.DUMMYFUNCTION(" IF(not(ISBLANK(F10)), VALUE(REGEXREPLACE(F10,""[^([:digit:]|.)]"", """")), """")"),140)</f>
        <v>140</v>
      </c>
      <c r="H10" s="23" t="str">
        <f ca="1">IFERROR(__xludf.DUMMYFUNCTION("REGEXREPLACE(F10,""[^[:alpha:]]"", """")"),"ms")</f>
        <v>ms</v>
      </c>
      <c r="I10" s="23" t="s">
        <v>141</v>
      </c>
      <c r="J10" s="24">
        <f t="array" aca="1" ref="J10" ca="1">G10*INDEX($C$17:$C$25, MATCH(TRUE, EXACT($H$10, $B$17:$B$25), 0))/INDEX($C$17:$C$25, MATCH(TRUE, EXACT($I$10, $B$17:$B$25), 0))</f>
        <v>0.14000000000000001</v>
      </c>
      <c r="L10" s="37" t="s">
        <v>212</v>
      </c>
      <c r="M10" s="38">
        <f>SUMPRODUCT(M4:M9, C20:C25)</f>
        <v>4182</v>
      </c>
    </row>
    <row r="11" spans="1:13" ht="12.95">
      <c r="B11" s="19" t="s">
        <v>213</v>
      </c>
      <c r="C11" s="3" t="str">
        <f t="shared" si="0"/>
        <v>MBps</v>
      </c>
      <c r="D11" s="18">
        <f t="shared" si="2"/>
        <v>80000000</v>
      </c>
    </row>
    <row r="12" spans="1:13" ht="12.95">
      <c r="B12" s="19" t="s">
        <v>214</v>
      </c>
      <c r="C12" s="3" t="str">
        <f t="shared" si="0"/>
        <v>GBps</v>
      </c>
      <c r="D12" s="18">
        <f t="shared" si="2"/>
        <v>80000000000</v>
      </c>
    </row>
    <row r="13" spans="1:13" ht="12.95">
      <c r="B13" s="34" t="s">
        <v>215</v>
      </c>
      <c r="C13" s="23" t="str">
        <f t="shared" si="0"/>
        <v>TBps</v>
      </c>
      <c r="D13" s="24">
        <f t="shared" si="2"/>
        <v>80000000000000</v>
      </c>
      <c r="F13" s="42" t="s">
        <v>216</v>
      </c>
      <c r="G13" s="13" t="s">
        <v>154</v>
      </c>
      <c r="H13" s="13" t="s">
        <v>195</v>
      </c>
      <c r="I13" s="26" t="s">
        <v>196</v>
      </c>
      <c r="J13" s="25" t="s">
        <v>173</v>
      </c>
    </row>
    <row r="14" spans="1:13" ht="12.95">
      <c r="F14" s="35" t="s">
        <v>217</v>
      </c>
      <c r="G14" s="3">
        <f ca="1">IFERROR(__xludf.DUMMYFUNCTION(" IF(not(ISBLANK(F14)), VALUE(REGEXREPLACE(F14,""[^([:digit:]|.)]"", """")), """")"),1.2)</f>
        <v>1.2</v>
      </c>
      <c r="H14" s="23" t="str">
        <f ca="1">IFERROR(__xludf.DUMMYFUNCTION("REGEXREPLACE(F14,""[^[:alpha:]]"", """")"),"km")</f>
        <v>km</v>
      </c>
      <c r="I14" s="23" t="s">
        <v>218</v>
      </c>
      <c r="J14" s="24">
        <f t="array" aca="1" ref="J14" ca="1">G14*INDEX(D31:D37, MATCH(TRUE, EXACT($H$14, B31:B37), 0))/INDEX(D31:D37, MATCH(TRUE, EXACT($I$14, B31:B37), 0))</f>
        <v>1200</v>
      </c>
    </row>
    <row r="16" spans="1:13" ht="12.95">
      <c r="B16" s="45" t="s">
        <v>219</v>
      </c>
      <c r="C16" s="48"/>
    </row>
    <row r="17" spans="2:10" ht="12.95">
      <c r="B17" s="19" t="s">
        <v>220</v>
      </c>
      <c r="C17" s="36">
        <v>1.0000000000000001E-9</v>
      </c>
      <c r="F17" s="42" t="s">
        <v>221</v>
      </c>
      <c r="G17" s="13" t="s">
        <v>154</v>
      </c>
      <c r="H17" s="13" t="s">
        <v>195</v>
      </c>
      <c r="I17" s="26" t="s">
        <v>196</v>
      </c>
      <c r="J17" s="25" t="s">
        <v>173</v>
      </c>
    </row>
    <row r="18" spans="2:10" ht="12.95">
      <c r="B18" s="19" t="s">
        <v>222</v>
      </c>
      <c r="C18" s="36">
        <v>9.9999999999999995E-7</v>
      </c>
      <c r="F18" s="35" t="s">
        <v>223</v>
      </c>
      <c r="G18" s="3">
        <f ca="1">IFERROR(__xludf.DUMMYFUNCTION(" IF(not(ISBLANK(F18)), VALUE(REGEXREPLACE(F18,""[^([:digit:]|.)]"", """")), """")"),2600401.502)</f>
        <v>2600401.5019999999</v>
      </c>
      <c r="H18" s="23" t="str">
        <f ca="1">IFERROR(__xludf.DUMMYFUNCTION("REGEXREPLACE(F18,""[^[:alpha:]]"", """")"),"Hz")</f>
        <v>Hz</v>
      </c>
      <c r="I18" s="23" t="s">
        <v>224</v>
      </c>
      <c r="J18" s="24">
        <f t="array" aca="1" ref="J18" ca="1">G18*INDEX(D42:D46, MATCH(TRUE, EXACT($H18, B42:B46), 0))/INDEX(D42:D46, MATCH(TRUE, EXACT($I18, B42:B46), 0))</f>
        <v>2600.4015019999997</v>
      </c>
    </row>
    <row r="19" spans="2:10" ht="12.95">
      <c r="B19" s="19" t="s">
        <v>225</v>
      </c>
      <c r="C19" s="18">
        <v>1E-3</v>
      </c>
    </row>
    <row r="20" spans="2:10" ht="12.95">
      <c r="B20" s="19" t="s">
        <v>141</v>
      </c>
      <c r="C20" s="18">
        <v>1</v>
      </c>
    </row>
    <row r="21" spans="2:10" ht="12.95">
      <c r="B21" s="19" t="s">
        <v>201</v>
      </c>
      <c r="C21" s="18">
        <v>60</v>
      </c>
    </row>
    <row r="22" spans="2:10" ht="12.95">
      <c r="B22" s="19" t="s">
        <v>203</v>
      </c>
      <c r="C22" s="18">
        <v>3600</v>
      </c>
    </row>
    <row r="23" spans="2:10" ht="12.95">
      <c r="B23" s="19" t="s">
        <v>205</v>
      </c>
      <c r="C23" s="18">
        <v>86400</v>
      </c>
    </row>
    <row r="24" spans="2:10" ht="12.95">
      <c r="B24" s="19" t="s">
        <v>207</v>
      </c>
      <c r="C24" s="18">
        <v>604800</v>
      </c>
    </row>
    <row r="25" spans="2:10" ht="12.95">
      <c r="B25" s="34" t="s">
        <v>209</v>
      </c>
      <c r="C25" s="39">
        <v>31536000</v>
      </c>
    </row>
    <row r="29" spans="2:10" ht="12.95">
      <c r="B29" s="46" t="s">
        <v>226</v>
      </c>
      <c r="C29" s="47"/>
      <c r="D29" s="48"/>
    </row>
    <row r="30" spans="2:10" ht="12.95">
      <c r="B30" s="15" t="s">
        <v>227</v>
      </c>
      <c r="C30" s="7" t="s">
        <v>228</v>
      </c>
      <c r="D30" s="16" t="s">
        <v>229</v>
      </c>
    </row>
    <row r="31" spans="2:10" ht="12.95">
      <c r="B31" s="19" t="s">
        <v>230</v>
      </c>
      <c r="C31" s="3" t="str">
        <f t="shared" ref="C31:C37" si="3">B31&amp;"ps"</f>
        <v>nmps</v>
      </c>
      <c r="D31" s="36">
        <v>1.0000000000000001E-9</v>
      </c>
    </row>
    <row r="32" spans="2:10" ht="12.95">
      <c r="B32" s="19" t="s">
        <v>231</v>
      </c>
      <c r="C32" s="3" t="str">
        <f t="shared" si="3"/>
        <v>umps</v>
      </c>
      <c r="D32" s="36">
        <v>9.9999999999999995E-7</v>
      </c>
    </row>
    <row r="33" spans="2:4" ht="12.95">
      <c r="B33" s="19" t="s">
        <v>232</v>
      </c>
      <c r="C33" s="3" t="str">
        <f t="shared" si="3"/>
        <v>mmps</v>
      </c>
      <c r="D33" s="18">
        <v>1E-3</v>
      </c>
    </row>
    <row r="34" spans="2:4" ht="12.95">
      <c r="B34" s="19" t="s">
        <v>233</v>
      </c>
      <c r="C34" s="3" t="str">
        <f t="shared" si="3"/>
        <v>cmps</v>
      </c>
      <c r="D34" s="18">
        <v>0.01</v>
      </c>
    </row>
    <row r="35" spans="2:4" ht="12.95">
      <c r="B35" s="19" t="s">
        <v>234</v>
      </c>
      <c r="C35" s="3" t="str">
        <f t="shared" si="3"/>
        <v>dmps</v>
      </c>
      <c r="D35" s="18">
        <v>0.1</v>
      </c>
    </row>
    <row r="36" spans="2:4" ht="12.95">
      <c r="B36" s="19" t="s">
        <v>218</v>
      </c>
      <c r="C36" s="3" t="str">
        <f t="shared" si="3"/>
        <v>mps</v>
      </c>
      <c r="D36" s="18">
        <v>1</v>
      </c>
    </row>
    <row r="37" spans="2:4" ht="12.95">
      <c r="B37" s="34" t="s">
        <v>235</v>
      </c>
      <c r="C37" s="23" t="str">
        <f t="shared" si="3"/>
        <v>kmps</v>
      </c>
      <c r="D37" s="24">
        <v>1000</v>
      </c>
    </row>
    <row r="38" spans="2:4" ht="12.95">
      <c r="B38" s="3"/>
    </row>
    <row r="39" spans="2:4" ht="12.95">
      <c r="B39" s="3"/>
    </row>
    <row r="40" spans="2:4" ht="12.95">
      <c r="B40" s="46" t="s">
        <v>236</v>
      </c>
      <c r="C40" s="47"/>
      <c r="D40" s="48"/>
    </row>
    <row r="41" spans="2:4" ht="12.95">
      <c r="B41" s="15" t="s">
        <v>140</v>
      </c>
      <c r="C41" s="7" t="s">
        <v>192</v>
      </c>
      <c r="D41" s="16" t="s">
        <v>193</v>
      </c>
    </row>
    <row r="42" spans="2:4" ht="12.95">
      <c r="B42" s="19" t="s">
        <v>237</v>
      </c>
      <c r="C42" s="3" t="str">
        <f t="shared" ref="C42:C46" si="4">B42&amp;"s"</f>
        <v>Hzs</v>
      </c>
      <c r="D42" s="18">
        <v>1</v>
      </c>
    </row>
    <row r="43" spans="2:4" ht="12.95">
      <c r="B43" s="19" t="s">
        <v>224</v>
      </c>
      <c r="C43" s="3" t="str">
        <f t="shared" si="4"/>
        <v>KHzs</v>
      </c>
      <c r="D43" s="18">
        <f t="shared" ref="D43:D46" si="5">D42*10^3</f>
        <v>1000</v>
      </c>
    </row>
    <row r="44" spans="2:4" ht="12.95">
      <c r="B44" s="19" t="s">
        <v>238</v>
      </c>
      <c r="C44" s="3" t="str">
        <f t="shared" si="4"/>
        <v>MHzs</v>
      </c>
      <c r="D44" s="18">
        <f t="shared" si="5"/>
        <v>1000000</v>
      </c>
    </row>
    <row r="45" spans="2:4" ht="12.95">
      <c r="B45" s="19" t="s">
        <v>239</v>
      </c>
      <c r="C45" s="3" t="str">
        <f t="shared" si="4"/>
        <v>GHzs</v>
      </c>
      <c r="D45" s="18">
        <f t="shared" si="5"/>
        <v>1000000000</v>
      </c>
    </row>
    <row r="46" spans="2:4" ht="12.95">
      <c r="B46" s="34" t="s">
        <v>240</v>
      </c>
      <c r="C46" s="23" t="str">
        <f t="shared" si="4"/>
        <v>THzs</v>
      </c>
      <c r="D46" s="24">
        <f t="shared" si="5"/>
        <v>1000000000000</v>
      </c>
    </row>
  </sheetData>
  <mergeCells count="5">
    <mergeCell ref="B2:D2"/>
    <mergeCell ref="L3:M3"/>
    <mergeCell ref="B16:C16"/>
    <mergeCell ref="B29:D29"/>
    <mergeCell ref="B40:D4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4"/>
  <sheetViews>
    <sheetView workbookViewId="0">
      <selection activeCell="B4" sqref="B4"/>
    </sheetView>
  </sheetViews>
  <sheetFormatPr defaultColWidth="14.42578125" defaultRowHeight="15.75" customHeight="1"/>
  <cols>
    <col min="1" max="1" width="21.28515625" customWidth="1"/>
    <col min="2" max="2" width="51.42578125" customWidth="1"/>
    <col min="3" max="3" width="46.7109375" customWidth="1"/>
  </cols>
  <sheetData>
    <row r="1" spans="1:4" ht="15.75" customHeight="1">
      <c r="A1" s="1"/>
    </row>
    <row r="3" spans="1:4" ht="12.95">
      <c r="A3" s="7" t="s">
        <v>241</v>
      </c>
      <c r="B3" s="40" t="s">
        <v>242</v>
      </c>
      <c r="C3" s="40" t="s">
        <v>243</v>
      </c>
      <c r="D3" s="40" t="s">
        <v>244</v>
      </c>
    </row>
    <row r="4" spans="1:4" ht="12.95">
      <c r="A4" s="7" t="s">
        <v>245</v>
      </c>
      <c r="B4" s="41" t="s">
        <v>246</v>
      </c>
    </row>
    <row r="5" spans="1:4" ht="12.95">
      <c r="A5" s="7" t="s">
        <v>247</v>
      </c>
      <c r="B5" s="41" t="s">
        <v>248</v>
      </c>
      <c r="C5" s="41" t="s">
        <v>249</v>
      </c>
    </row>
    <row r="6" spans="1:4" ht="12.95">
      <c r="A6" s="7" t="s">
        <v>250</v>
      </c>
      <c r="B6" s="40" t="s">
        <v>251</v>
      </c>
      <c r="C6" s="40" t="s">
        <v>252</v>
      </c>
    </row>
    <row r="12" spans="1:4" ht="12.95">
      <c r="A12" s="7" t="s">
        <v>253</v>
      </c>
      <c r="B12" s="40" t="s">
        <v>254</v>
      </c>
    </row>
    <row r="13" spans="1:4" ht="12.95">
      <c r="A13" s="7" t="s">
        <v>255</v>
      </c>
      <c r="B13" s="41" t="s">
        <v>256</v>
      </c>
    </row>
    <row r="14" spans="1:4" ht="12.95">
      <c r="A14" s="7" t="s">
        <v>257</v>
      </c>
      <c r="B14" s="40" t="s">
        <v>258</v>
      </c>
    </row>
  </sheetData>
  <hyperlinks>
    <hyperlink ref="B3" r:id="rId1" xr:uid="{00000000-0004-0000-0500-000000000000}"/>
    <hyperlink ref="C3" r:id="rId2" xr:uid="{00000000-0004-0000-0500-000001000000}"/>
    <hyperlink ref="D3" r:id="rId3" xr:uid="{00000000-0004-0000-0500-000002000000}"/>
    <hyperlink ref="B4" r:id="rId4" xr:uid="{00000000-0004-0000-0500-000003000000}"/>
    <hyperlink ref="B5" r:id="rId5" xr:uid="{00000000-0004-0000-0500-000004000000}"/>
    <hyperlink ref="C5" r:id="rId6" location=":~:text=The%20field%20size%20sets%20a,data)%20for%20a%20UDP%20datagram." xr:uid="{00000000-0004-0000-0500-000005000000}"/>
    <hyperlink ref="B6" r:id="rId7" xr:uid="{00000000-0004-0000-0500-000006000000}"/>
    <hyperlink ref="C6" r:id="rId8" xr:uid="{00000000-0004-0000-0500-000007000000}"/>
    <hyperlink ref="B12" r:id="rId9" location="Header" xr:uid="{00000000-0004-0000-0500-000008000000}"/>
    <hyperlink ref="B13" r:id="rId10" location="Fixed_header" xr:uid="{00000000-0004-0000-0500-000009000000}"/>
    <hyperlink ref="B14" r:id="rId11" location="Structure" xr:uid="{00000000-0004-0000-0500-00000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3:F6"/>
  <sheetViews>
    <sheetView workbookViewId="0"/>
  </sheetViews>
  <sheetFormatPr defaultColWidth="14.42578125" defaultRowHeight="15.75" customHeight="1"/>
  <cols>
    <col min="1" max="1" width="17.42578125" customWidth="1"/>
    <col min="2" max="2" width="22" customWidth="1"/>
    <col min="3" max="3" width="29.42578125" customWidth="1"/>
    <col min="4" max="4" width="30.85546875" customWidth="1"/>
  </cols>
  <sheetData>
    <row r="3" spans="2:6" ht="15.75" customHeight="1">
      <c r="B3" s="12"/>
      <c r="C3" s="26" t="s">
        <v>259</v>
      </c>
      <c r="D3" s="25" t="s">
        <v>260</v>
      </c>
      <c r="F3" s="7" t="s">
        <v>261</v>
      </c>
    </row>
    <row r="4" spans="2:6" ht="15.75" customHeight="1">
      <c r="B4" s="15" t="s">
        <v>262</v>
      </c>
      <c r="C4" s="4" t="s">
        <v>263</v>
      </c>
      <c r="D4" s="18" t="s">
        <v>264</v>
      </c>
      <c r="F4" s="7" t="s">
        <v>265</v>
      </c>
    </row>
    <row r="5" spans="2:6" ht="15.75" customHeight="1">
      <c r="B5" s="15" t="s">
        <v>266</v>
      </c>
      <c r="C5" s="3" t="s">
        <v>264</v>
      </c>
      <c r="D5" s="18" t="s">
        <v>263</v>
      </c>
      <c r="F5" s="3" t="s">
        <v>267</v>
      </c>
    </row>
    <row r="6" spans="2:6" ht="15.75" customHeight="1">
      <c r="B6" s="22" t="s">
        <v>268</v>
      </c>
      <c r="C6" s="23" t="s">
        <v>269</v>
      </c>
      <c r="D6" s="24" t="s">
        <v>270</v>
      </c>
      <c r="F6" s="3" t="s">
        <v>271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Khemani, Jaiditya</cp:lastModifiedBy>
  <cp:revision/>
  <dcterms:created xsi:type="dcterms:W3CDTF">2021-04-26T12:09:07Z</dcterms:created>
  <dcterms:modified xsi:type="dcterms:W3CDTF">2023-04-30T15:04:17Z</dcterms:modified>
  <cp:category/>
  <cp:contentStatus/>
</cp:coreProperties>
</file>