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/>
  <xr:revisionPtr revIDLastSave="5" documentId="11_6557120A482BB042D029764978CB0545059DF609" xr6:coauthVersionLast="47" xr6:coauthVersionMax="47" xr10:uidLastSave="{C376040E-56C1-494D-BB73-D58A3E04D85A}"/>
  <bookViews>
    <workbookView xWindow="0" yWindow="0" windowWidth="0" windowHeight="0" firstSheet="3" activeTab="1" xr2:uid="{00000000-000D-0000-FFFF-FFFF00000000}"/>
  </bookViews>
  <sheets>
    <sheet name="CHI-squared" sheetId="1" r:id="rId1"/>
    <sheet name="Calc" sheetId="2" r:id="rId2"/>
    <sheet name="Confidence" sheetId="3" r:id="rId3"/>
    <sheet name="Hypothesis" sheetId="4" r:id="rId4"/>
    <sheet name="Distro" sheetId="5" r:id="rId5"/>
    <sheet name="Bayesian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I17" i="1"/>
  <c r="G17" i="1"/>
  <c r="G30" i="1"/>
  <c r="C53" i="6"/>
  <c r="C52" i="6"/>
  <c r="C51" i="6"/>
  <c r="C48" i="6"/>
  <c r="C47" i="6"/>
  <c r="C35" i="6"/>
  <c r="C33" i="6"/>
  <c r="C30" i="6"/>
  <c r="C29" i="6"/>
  <c r="C16" i="6"/>
  <c r="C15" i="6"/>
  <c r="C14" i="6"/>
  <c r="C11" i="6"/>
  <c r="C10" i="6"/>
  <c r="E51" i="5"/>
  <c r="E50" i="5"/>
  <c r="E49" i="5"/>
  <c r="E48" i="5"/>
  <c r="J41" i="5"/>
  <c r="E41" i="5"/>
  <c r="J40" i="5"/>
  <c r="E40" i="5"/>
  <c r="J39" i="5"/>
  <c r="E39" i="5"/>
  <c r="J38" i="5"/>
  <c r="E38" i="5"/>
  <c r="J28" i="5"/>
  <c r="E28" i="5"/>
  <c r="J27" i="5"/>
  <c r="E27" i="5"/>
  <c r="J26" i="5"/>
  <c r="E26" i="5"/>
  <c r="J25" i="5"/>
  <c r="E25" i="5"/>
  <c r="J18" i="5"/>
  <c r="E18" i="5"/>
  <c r="J17" i="5"/>
  <c r="E17" i="5"/>
  <c r="J16" i="5"/>
  <c r="E16" i="5"/>
  <c r="J15" i="5"/>
  <c r="E15" i="5"/>
  <c r="F54" i="4"/>
  <c r="F53" i="4"/>
  <c r="F42" i="4"/>
  <c r="F41" i="4"/>
  <c r="F43" i="4"/>
  <c r="F31" i="4"/>
  <c r="F30" i="4"/>
  <c r="F20" i="4"/>
  <c r="F19" i="4"/>
  <c r="F6" i="4"/>
  <c r="F7" i="4"/>
  <c r="F5" i="4"/>
  <c r="F4" i="4"/>
  <c r="F8" i="4"/>
  <c r="C24" i="3"/>
  <c r="C25" i="3"/>
  <c r="C9" i="3"/>
  <c r="C10" i="3"/>
  <c r="F34" i="2"/>
  <c r="F33" i="2"/>
  <c r="F32" i="2"/>
  <c r="F31" i="2"/>
  <c r="C14" i="2"/>
  <c r="G13" i="2"/>
  <c r="C13" i="2"/>
  <c r="G12" i="2"/>
  <c r="C12" i="2"/>
  <c r="J11" i="2"/>
  <c r="G11" i="2"/>
  <c r="J12" i="2"/>
  <c r="J13" i="2"/>
  <c r="K5" i="2"/>
  <c r="G5" i="2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H53" i="1"/>
  <c r="H55" i="1"/>
  <c r="B52" i="1"/>
  <c r="D51" i="1"/>
  <c r="E51" i="1"/>
  <c r="H11" i="1"/>
  <c r="H23" i="1"/>
  <c r="G11" i="1"/>
  <c r="G23" i="1"/>
  <c r="F11" i="1"/>
  <c r="F23" i="1"/>
  <c r="E11" i="1"/>
  <c r="E23" i="1"/>
  <c r="D11" i="1"/>
  <c r="D23" i="1"/>
  <c r="C11" i="1"/>
  <c r="I10" i="1"/>
  <c r="I22" i="1"/>
  <c r="I9" i="1"/>
  <c r="I21" i="1"/>
  <c r="I8" i="1"/>
  <c r="I20" i="1"/>
  <c r="I7" i="1"/>
  <c r="I19" i="1"/>
  <c r="I6" i="1"/>
  <c r="I18" i="1"/>
  <c r="I5" i="1"/>
  <c r="C41" i="1"/>
  <c r="I11" i="1"/>
  <c r="I23" i="1"/>
  <c r="C40" i="1"/>
  <c r="C42" i="1"/>
  <c r="C43" i="1"/>
  <c r="C23" i="1"/>
  <c r="D22" i="1"/>
  <c r="D34" i="1"/>
  <c r="D21" i="1"/>
  <c r="D33" i="1"/>
  <c r="D20" i="1"/>
  <c r="D32" i="1"/>
  <c r="D19" i="1"/>
  <c r="D31" i="1"/>
  <c r="D18" i="1"/>
  <c r="D30" i="1"/>
  <c r="D17" i="1"/>
  <c r="D29" i="1"/>
  <c r="E22" i="1"/>
  <c r="E34" i="1"/>
  <c r="E21" i="1"/>
  <c r="E33" i="1"/>
  <c r="E20" i="1"/>
  <c r="E32" i="1"/>
  <c r="E19" i="1"/>
  <c r="E31" i="1"/>
  <c r="E18" i="1"/>
  <c r="E30" i="1"/>
  <c r="E17" i="1"/>
  <c r="E29" i="1"/>
  <c r="F22" i="1"/>
  <c r="F34" i="1"/>
  <c r="F21" i="1"/>
  <c r="F33" i="1"/>
  <c r="F20" i="1"/>
  <c r="F32" i="1"/>
  <c r="F19" i="1"/>
  <c r="F31" i="1"/>
  <c r="F18" i="1"/>
  <c r="F30" i="1"/>
  <c r="F17" i="1"/>
  <c r="F29" i="1"/>
  <c r="G22" i="1"/>
  <c r="G34" i="1"/>
  <c r="G21" i="1"/>
  <c r="G33" i="1"/>
  <c r="G20" i="1"/>
  <c r="G32" i="1"/>
  <c r="G19" i="1"/>
  <c r="G31" i="1"/>
  <c r="G18" i="1"/>
  <c r="G29" i="1"/>
  <c r="H22" i="1"/>
  <c r="H34" i="1"/>
  <c r="H21" i="1"/>
  <c r="H33" i="1"/>
  <c r="H20" i="1"/>
  <c r="H32" i="1"/>
  <c r="H19" i="1"/>
  <c r="H31" i="1"/>
  <c r="H18" i="1"/>
  <c r="H30" i="1"/>
  <c r="H17" i="1"/>
  <c r="H29" i="1"/>
  <c r="B53" i="1"/>
  <c r="D52" i="1"/>
  <c r="E52" i="1"/>
  <c r="D11" i="3"/>
  <c r="C11" i="3"/>
  <c r="D26" i="3"/>
  <c r="C26" i="3"/>
  <c r="F9" i="4"/>
  <c r="F23" i="4"/>
  <c r="F21" i="4"/>
  <c r="F34" i="4"/>
  <c r="F32" i="4"/>
  <c r="F57" i="4"/>
  <c r="F55" i="4"/>
  <c r="C13" i="6"/>
  <c r="C12" i="6"/>
  <c r="C32" i="6"/>
  <c r="C31" i="6"/>
  <c r="C50" i="6"/>
  <c r="C49" i="6"/>
  <c r="B54" i="1"/>
  <c r="D53" i="1"/>
  <c r="E53" i="1"/>
  <c r="C22" i="1"/>
  <c r="C34" i="1"/>
  <c r="C21" i="1"/>
  <c r="C33" i="1"/>
  <c r="C20" i="1"/>
  <c r="C32" i="1"/>
  <c r="C19" i="1"/>
  <c r="C31" i="1"/>
  <c r="C18" i="1"/>
  <c r="C30" i="1"/>
  <c r="C17" i="1"/>
  <c r="C29" i="1"/>
  <c r="C39" i="1"/>
  <c r="C44" i="1"/>
  <c r="B55" i="1"/>
  <c r="D54" i="1"/>
  <c r="E54" i="1"/>
  <c r="B56" i="1"/>
  <c r="D55" i="1"/>
  <c r="E55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D56" i="1"/>
  <c r="E56" i="1"/>
  <c r="H54" i="1"/>
  <c r="H56" i="1"/>
</calcChain>
</file>

<file path=xl/sharedStrings.xml><?xml version="1.0" encoding="utf-8"?>
<sst xmlns="http://schemas.openxmlformats.org/spreadsheetml/2006/main" count="253" uniqueCount="140">
  <si>
    <t xml:space="preserve">Input numbers: </t>
  </si>
  <si>
    <t>Choice 1</t>
  </si>
  <si>
    <t>Choice 2</t>
  </si>
  <si>
    <t>Choice 3</t>
  </si>
  <si>
    <t>Choice 4</t>
  </si>
  <si>
    <t>Choice 5</t>
  </si>
  <si>
    <t>Choice 6</t>
  </si>
  <si>
    <t>Total</t>
  </si>
  <si>
    <t>Another Choice 1</t>
  </si>
  <si>
    <t>Another Choice 2</t>
  </si>
  <si>
    <t>Another Choice 3</t>
  </si>
  <si>
    <t>Another Choice 4</t>
  </si>
  <si>
    <t>Another Choice 5</t>
  </si>
  <si>
    <t>Another Choice 6</t>
  </si>
  <si>
    <t xml:space="preserve">Expected numbers: </t>
  </si>
  <si>
    <t xml:space="preserve">Term Values: </t>
  </si>
  <si>
    <t>Input Sig Level</t>
  </si>
  <si>
    <t xml:space="preserve">CHI^2 = </t>
  </si>
  <si>
    <t>Num(Choice)</t>
  </si>
  <si>
    <t>Num(Another Choice)</t>
  </si>
  <si>
    <t xml:space="preserve">V = </t>
  </si>
  <si>
    <t xml:space="preserve">(Xv)^2 = </t>
  </si>
  <si>
    <t xml:space="preserve">Reject? </t>
  </si>
  <si>
    <t>Page 60</t>
  </si>
  <si>
    <t>Parameter</t>
  </si>
  <si>
    <t>Values</t>
  </si>
  <si>
    <t>Expected</t>
  </si>
  <si>
    <t>Terms</t>
  </si>
  <si>
    <t xml:space="preserve">P = params estimated = </t>
  </si>
  <si>
    <t>V = k - p - 1 =</t>
  </si>
  <si>
    <t>Standard normal table</t>
  </si>
  <si>
    <t>Student t table</t>
  </si>
  <si>
    <t>Chi-squared table</t>
  </si>
  <si>
    <t>Z</t>
  </si>
  <si>
    <t>PHI(Z)</t>
  </si>
  <si>
    <t>v</t>
  </si>
  <si>
    <t>Alpha</t>
  </si>
  <si>
    <t>Value</t>
  </si>
  <si>
    <t>Values from Sums</t>
  </si>
  <si>
    <t>Independent Values Mean and Variance (Binomial)</t>
  </si>
  <si>
    <t>Sum X</t>
  </si>
  <si>
    <t>Sum X^2</t>
  </si>
  <si>
    <t>X</t>
  </si>
  <si>
    <t>P(X)</t>
  </si>
  <si>
    <r>
      <rPr>
        <b/>
        <sz val="10"/>
        <color theme="1"/>
        <rFont val="Arial"/>
      </rPr>
      <t>1-</t>
    </r>
    <r>
      <rPr>
        <b/>
        <sz val="10"/>
        <color theme="1"/>
        <rFont val="Arial"/>
      </rPr>
      <t>P(X)</t>
    </r>
  </si>
  <si>
    <t>N</t>
  </si>
  <si>
    <t>Mean</t>
  </si>
  <si>
    <t>Sn</t>
  </si>
  <si>
    <t>Variance</t>
  </si>
  <si>
    <t>Sn-1</t>
  </si>
  <si>
    <t>STD</t>
  </si>
  <si>
    <t>Values from List</t>
  </si>
  <si>
    <t>Xs</t>
  </si>
  <si>
    <t xml:space="preserve">Normal Distribution with Unknown Variance (Page 28)
</t>
  </si>
  <si>
    <t>Percentage</t>
  </si>
  <si>
    <t>n =</t>
  </si>
  <si>
    <t xml:space="preserve">Mean = </t>
  </si>
  <si>
    <t xml:space="preserve">S(n-1) = </t>
  </si>
  <si>
    <t>t (n-1)(1-alpha/2) =</t>
  </si>
  <si>
    <t>Bounds</t>
  </si>
  <si>
    <t xml:space="preserve">Normal Distribution with known Variance (Page 25)
</t>
  </si>
  <si>
    <t>Mean X</t>
  </si>
  <si>
    <t>Pop STDEV</t>
  </si>
  <si>
    <t>n</t>
  </si>
  <si>
    <t xml:space="preserve"> </t>
  </si>
  <si>
    <t>Samples from Two Populations – unknown Variance (page 52 - 55)</t>
  </si>
  <si>
    <t>Tails? (Equals = 2)</t>
  </si>
  <si>
    <t>significance level</t>
  </si>
  <si>
    <t xml:space="preserve">n1 - 1 = </t>
  </si>
  <si>
    <t>significance level = 1 - confidence</t>
  </si>
  <si>
    <t>NUM X (n1)</t>
  </si>
  <si>
    <t xml:space="preserve">n2 - 1 = </t>
  </si>
  <si>
    <t>NUM Y (n2)</t>
  </si>
  <si>
    <t xml:space="preserve">t = </t>
  </si>
  <si>
    <t>Mean Y</t>
  </si>
  <si>
    <t>Reject null =?</t>
  </si>
  <si>
    <t>S(n-1)(X)^2</t>
  </si>
  <si>
    <t>S(n-1)(Y)^2</t>
  </si>
  <si>
    <t>Testing for Population Mean – unknown Variance (Page 45)</t>
  </si>
  <si>
    <t>s(n-1)</t>
  </si>
  <si>
    <t>p-value</t>
  </si>
  <si>
    <t>Expected mean</t>
  </si>
  <si>
    <t>Testing for Population Mean – Known Variance (Page 41)</t>
  </si>
  <si>
    <t xml:space="preserve">z = </t>
  </si>
  <si>
    <t>Reject null?</t>
  </si>
  <si>
    <t>Samples from Two Populations – known Variance (page 51)</t>
  </si>
  <si>
    <t>Var(X)</t>
  </si>
  <si>
    <t>Var(Y)</t>
  </si>
  <si>
    <t>Basic normal distribution</t>
  </si>
  <si>
    <t>MLE (Page 77)</t>
  </si>
  <si>
    <t>ALL</t>
  </si>
  <si>
    <t>https://www.projectrhea.org/rhea/index.php/Maximum_Likelihood_Estimation_Analysis_for_various_Probability_Distributions</t>
  </si>
  <si>
    <t xml:space="preserve">Exponential, Geometric </t>
  </si>
  <si>
    <t>https://www.projectrhea.org/rhea/index.php/MLE_Examples:_Exponential_and_Geometric_Distributions_Old_Kiwi</t>
  </si>
  <si>
    <t xml:space="preserve">Binomial, Poisson </t>
  </si>
  <si>
    <t>https://www.projectrhea.org/rhea/index.php/MLE_Examples:_Binomial_and_Poisson_Distributions_Old_Kiwi</t>
  </si>
  <si>
    <t>Discrete probability distributions</t>
  </si>
  <si>
    <t>Discrete Uniform</t>
  </si>
  <si>
    <t>Binomial</t>
  </si>
  <si>
    <t>x</t>
  </si>
  <si>
    <t>Px</t>
  </si>
  <si>
    <t>theta</t>
  </si>
  <si>
    <t>cdf(x)</t>
  </si>
  <si>
    <t>mean</t>
  </si>
  <si>
    <t>Poisson</t>
  </si>
  <si>
    <t>Geometric</t>
  </si>
  <si>
    <t>lambda</t>
  </si>
  <si>
    <t>Continuous probability distributions</t>
  </si>
  <si>
    <t>Uniform</t>
  </si>
  <si>
    <t>Exponential</t>
  </si>
  <si>
    <t>alpha</t>
  </si>
  <si>
    <t>beta</t>
  </si>
  <si>
    <t>f(x)</t>
  </si>
  <si>
    <t>F(x)</t>
  </si>
  <si>
    <t>Normal</t>
  </si>
  <si>
    <t>Standard Normal</t>
  </si>
  <si>
    <t>Var</t>
  </si>
  <si>
    <t>Bernoulli likelihood and Beta prior</t>
  </si>
  <si>
    <t>mean X</t>
  </si>
  <si>
    <t>a</t>
  </si>
  <si>
    <t>b</t>
  </si>
  <si>
    <t>Posterior</t>
  </si>
  <si>
    <t>Beta(theta, a1, b1)</t>
  </si>
  <si>
    <t>Posterior a1</t>
  </si>
  <si>
    <t>Posterior b1</t>
  </si>
  <si>
    <t>Theta(B) (mean of posterior)</t>
  </si>
  <si>
    <t>Theta(MAP) (argmax posterior)</t>
  </si>
  <si>
    <t>Theta(MaxPrior)</t>
  </si>
  <si>
    <t>Theta(MeanPrior)</t>
  </si>
  <si>
    <t>Theta(MLE) (Argmax likelihood)</t>
  </si>
  <si>
    <t>Poisson likelihood and Gamma prior</t>
  </si>
  <si>
    <t>Gamma(theta, a1, b1)</t>
  </si>
  <si>
    <t>Theta(B) (mean posterior)</t>
  </si>
  <si>
    <t>Normal Likelhihood and Normal Prior</t>
  </si>
  <si>
    <t>u0</t>
  </si>
  <si>
    <t>sigma0^2</t>
  </si>
  <si>
    <t>sigmaX^2</t>
  </si>
  <si>
    <t>N(u1, sigma1^2)</t>
  </si>
  <si>
    <t>Posterior u1</t>
  </si>
  <si>
    <t>Posterior sigma1^2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</si>
</sst>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13" x14ac:knownFonts="1">
    <font>
      <sz val="10"/>
      <color rgb="FF000000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  <font>
      <b/>
      <sz val="10"/>
      <color rgb="FF000000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b/>
      <sz val="10"/>
      <color rgb="FF4A86E8"/>
      <name val="Arial"/>
    </font>
    <font>
      <sz val="10"/>
      <color rgb="FFCCCC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3" fillId="2" borderId="5" xfId="0" applyFont="1" applyFill="1" applyBorder="1"/>
    <xf numFmtId="0" fontId="2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2" fillId="0" borderId="1" xfId="0" applyFont="1" applyBorder="1"/>
    <xf numFmtId="10" fontId="3" fillId="0" borderId="3" xfId="0" applyNumberFormat="1" applyFont="1" applyBorder="1"/>
    <xf numFmtId="0" fontId="5" fillId="0" borderId="8" xfId="0" applyFont="1" applyBorder="1"/>
    <xf numFmtId="0" fontId="6" fillId="0" borderId="4" xfId="0" applyFont="1" applyBorder="1"/>
    <xf numFmtId="10" fontId="3" fillId="0" borderId="5" xfId="0" applyNumberFormat="1" applyFont="1" applyBorder="1" applyAlignment="1">
      <alignment horizontal="right"/>
    </xf>
    <xf numFmtId="0" fontId="6" fillId="0" borderId="0" xfId="0" applyFont="1"/>
    <xf numFmtId="0" fontId="6" fillId="0" borderId="5" xfId="0" applyFont="1" applyBorder="1"/>
    <xf numFmtId="0" fontId="7" fillId="0" borderId="5" xfId="0" applyFont="1" applyBorder="1"/>
    <xf numFmtId="0" fontId="3" fillId="0" borderId="5" xfId="0" applyFont="1" applyBorder="1"/>
    <xf numFmtId="0" fontId="6" fillId="0" borderId="3" xfId="0" applyFont="1" applyBorder="1"/>
    <xf numFmtId="0" fontId="6" fillId="0" borderId="2" xfId="0" applyFont="1" applyBorder="1"/>
    <xf numFmtId="0" fontId="2" fillId="0" borderId="5" xfId="0" applyFont="1" applyBorder="1"/>
    <xf numFmtId="11" fontId="3" fillId="0" borderId="8" xfId="0" applyNumberFormat="1" applyFont="1" applyBorder="1"/>
    <xf numFmtId="164" fontId="3" fillId="0" borderId="8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/>
    <xf numFmtId="10" fontId="5" fillId="0" borderId="0" xfId="0" applyNumberFormat="1" applyFont="1"/>
    <xf numFmtId="0" fontId="7" fillId="0" borderId="0" xfId="0" applyFont="1"/>
    <xf numFmtId="49" fontId="2" fillId="0" borderId="4" xfId="0" applyNumberFormat="1" applyFont="1" applyBorder="1"/>
    <xf numFmtId="165" fontId="3" fillId="0" borderId="0" xfId="0" applyNumberFormat="1" applyFont="1"/>
    <xf numFmtId="166" fontId="2" fillId="0" borderId="0" xfId="0" applyNumberFormat="1" applyFont="1"/>
    <xf numFmtId="49" fontId="2" fillId="0" borderId="6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5" fillId="0" borderId="0" xfId="0" applyFont="1"/>
    <xf numFmtId="49" fontId="3" fillId="0" borderId="0" xfId="0" applyNumberFormat="1" applyFont="1"/>
    <xf numFmtId="0" fontId="8" fillId="0" borderId="4" xfId="0" applyFont="1" applyBorder="1"/>
    <xf numFmtId="0" fontId="5" fillId="0" borderId="4" xfId="0" applyFont="1" applyBorder="1"/>
    <xf numFmtId="164" fontId="8" fillId="0" borderId="0" xfId="0" applyNumberFormat="1" applyFont="1"/>
    <xf numFmtId="0" fontId="8" fillId="0" borderId="7" xfId="0" applyFont="1" applyBorder="1"/>
    <xf numFmtId="0" fontId="2" fillId="0" borderId="8" xfId="0" applyFont="1" applyBorder="1"/>
    <xf numFmtId="10" fontId="3" fillId="0" borderId="0" xfId="0" applyNumberFormat="1" applyFont="1"/>
    <xf numFmtId="166" fontId="3" fillId="0" borderId="5" xfId="0" applyNumberFormat="1" applyFont="1" applyBorder="1"/>
    <xf numFmtId="0" fontId="2" fillId="0" borderId="7" xfId="0" applyFont="1" applyBorder="1"/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2" fillId="0" borderId="0" xfId="0" applyFont="1"/>
    <xf numFmtId="0" fontId="2" fillId="0" borderId="0" xfId="0" applyFont="1" applyAlignment="1"/>
    <xf numFmtId="0" fontId="0" fillId="0" borderId="0" xfId="0" applyAlignment="1"/>
    <xf numFmtId="0" fontId="2" fillId="3" borderId="1" xfId="0" applyFont="1" applyFill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9" fillId="0" borderId="0" xfId="0" applyFont="1" applyAlignment="1"/>
    <xf numFmtId="0" fontId="2" fillId="4" borderId="1" xfId="0" applyFont="1" applyFill="1" applyBorder="1" applyAlignment="1"/>
    <xf numFmtId="0" fontId="10" fillId="0" borderId="0" xfId="0" applyFont="1" applyAlignment="1"/>
    <xf numFmtId="0" fontId="6" fillId="0" borderId="5" xfId="0" applyFont="1" applyBorder="1" applyAlignment="1"/>
    <xf numFmtId="0" fontId="10" fillId="0" borderId="7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36</xdr:row>
      <xdr:rowOff>95250</xdr:rowOff>
    </xdr:from>
    <xdr:ext cx="2305050" cy="790575"/>
    <xdr:pic>
      <xdr:nvPicPr>
        <xdr:cNvPr id="2" name="image1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333375</xdr:colOff>
      <xdr:row>41</xdr:row>
      <xdr:rowOff>114300</xdr:rowOff>
    </xdr:from>
    <xdr:ext cx="3648075" cy="5143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3</xdr:row>
      <xdr:rowOff>38100</xdr:rowOff>
    </xdr:from>
    <xdr:ext cx="3067050" cy="561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257175</xdr:colOff>
      <xdr:row>19</xdr:row>
      <xdr:rowOff>66675</xdr:rowOff>
    </xdr:from>
    <xdr:ext cx="2686050" cy="561975"/>
    <xdr:pic>
      <xdr:nvPicPr>
        <xdr:cNvPr id="3" name="image6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419100" cy="209550"/>
    <xdr:pic>
      <xdr:nvPicPr>
        <xdr:cNvPr id="4" name="image20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428625" cy="285750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04800" cy="200025"/>
    <xdr:pic>
      <xdr:nvPicPr>
        <xdr:cNvPr id="6" name="image8.pn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4</xdr:row>
      <xdr:rowOff>47625</xdr:rowOff>
    </xdr:from>
    <xdr:ext cx="2038350" cy="542925"/>
    <xdr:pic>
      <xdr:nvPicPr>
        <xdr:cNvPr id="2" name="image26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7</xdr:row>
      <xdr:rowOff>104775</xdr:rowOff>
    </xdr:from>
    <xdr:ext cx="2657475" cy="400050"/>
    <xdr:pic>
      <xdr:nvPicPr>
        <xdr:cNvPr id="3" name="image9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16</xdr:row>
      <xdr:rowOff>133350</xdr:rowOff>
    </xdr:from>
    <xdr:ext cx="1066800" cy="400050"/>
    <xdr:pic>
      <xdr:nvPicPr>
        <xdr:cNvPr id="4" name="image14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19</xdr:row>
      <xdr:rowOff>57150</xdr:rowOff>
    </xdr:from>
    <xdr:ext cx="4524375" cy="304800"/>
    <xdr:pic>
      <xdr:nvPicPr>
        <xdr:cNvPr id="5" name="image19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27</xdr:row>
      <xdr:rowOff>133350</xdr:rowOff>
    </xdr:from>
    <xdr:ext cx="1238250" cy="542925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30</xdr:row>
      <xdr:rowOff>171450</xdr:rowOff>
    </xdr:from>
    <xdr:ext cx="4791075" cy="304800"/>
    <xdr:pic>
      <xdr:nvPicPr>
        <xdr:cNvPr id="7" name="image7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32</xdr:row>
      <xdr:rowOff>180975</xdr:rowOff>
    </xdr:from>
    <xdr:ext cx="2743200" cy="304800"/>
    <xdr:pic>
      <xdr:nvPicPr>
        <xdr:cNvPr id="8" name="image15.png" title="Imag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37</xdr:row>
      <xdr:rowOff>95250</xdr:rowOff>
    </xdr:from>
    <xdr:ext cx="1752600" cy="542925"/>
    <xdr:pic>
      <xdr:nvPicPr>
        <xdr:cNvPr id="9" name="image13.png" title="Image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40</xdr:row>
      <xdr:rowOff>123825</xdr:rowOff>
    </xdr:from>
    <xdr:ext cx="1924050" cy="400050"/>
    <xdr:pic>
      <xdr:nvPicPr>
        <xdr:cNvPr id="10" name="image17.png" title="Image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50</xdr:row>
      <xdr:rowOff>47625</xdr:rowOff>
    </xdr:from>
    <xdr:ext cx="952500" cy="600075"/>
    <xdr:pic>
      <xdr:nvPicPr>
        <xdr:cNvPr id="11" name="image18.png" title="Image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342900" cy="200025"/>
    <xdr:pic>
      <xdr:nvPicPr>
        <xdr:cNvPr id="12" name="image21.png" title="Image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219075"/>
    <xdr:pic>
      <xdr:nvPicPr>
        <xdr:cNvPr id="13" name="image10.png" title="Imag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476250" cy="200025"/>
    <xdr:pic>
      <xdr:nvPicPr>
        <xdr:cNvPr id="14" name="image16.png" title="Image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295275" cy="200025"/>
    <xdr:pic>
      <xdr:nvPicPr>
        <xdr:cNvPr id="15" name="image3.png" title="Image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</xdr:row>
      <xdr:rowOff>0</xdr:rowOff>
    </xdr:from>
    <xdr:ext cx="295275" cy="200025"/>
    <xdr:pic>
      <xdr:nvPicPr>
        <xdr:cNvPr id="16" name="image3.png" title="Image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295275" cy="200025"/>
    <xdr:pic>
      <xdr:nvPicPr>
        <xdr:cNvPr id="17" name="image3.png" title="Image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10</xdr:row>
      <xdr:rowOff>57150</xdr:rowOff>
    </xdr:from>
    <xdr:ext cx="3819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9</xdr:row>
      <xdr:rowOff>200025</xdr:rowOff>
    </xdr:from>
    <xdr:ext cx="3819525" cy="561975"/>
    <xdr:pic>
      <xdr:nvPicPr>
        <xdr:cNvPr id="3" name="image12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228600</xdr:colOff>
      <xdr:row>20</xdr:row>
      <xdr:rowOff>28575</xdr:rowOff>
    </xdr:from>
    <xdr:ext cx="3819525" cy="561975"/>
    <xdr:pic>
      <xdr:nvPicPr>
        <xdr:cNvPr id="4" name="image28.pn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971550</xdr:colOff>
      <xdr:row>19</xdr:row>
      <xdr:rowOff>200025</xdr:rowOff>
    </xdr:from>
    <xdr:ext cx="3819525" cy="561975"/>
    <xdr:pic>
      <xdr:nvPicPr>
        <xdr:cNvPr id="5" name="image22.png" title="Ima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52</xdr:row>
      <xdr:rowOff>209550</xdr:rowOff>
    </xdr:from>
    <xdr:ext cx="6419850" cy="1809750"/>
    <xdr:pic>
      <xdr:nvPicPr>
        <xdr:cNvPr id="6" name="image36.png" title="Imag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32</xdr:row>
      <xdr:rowOff>38100</xdr:rowOff>
    </xdr:from>
    <xdr:ext cx="3819525" cy="723900"/>
    <xdr:pic>
      <xdr:nvPicPr>
        <xdr:cNvPr id="7" name="image34.png" title="Imag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32</xdr:row>
      <xdr:rowOff>19050</xdr:rowOff>
    </xdr:from>
    <xdr:ext cx="3305175" cy="723900"/>
    <xdr:pic>
      <xdr:nvPicPr>
        <xdr:cNvPr id="8" name="image29.png" title="Image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43</xdr:row>
      <xdr:rowOff>19050</xdr:rowOff>
    </xdr:from>
    <xdr:ext cx="3819525" cy="485775"/>
    <xdr:pic>
      <xdr:nvPicPr>
        <xdr:cNvPr id="9" name="image24.png" title="Imag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43</xdr:row>
      <xdr:rowOff>57150</xdr:rowOff>
    </xdr:from>
    <xdr:ext cx="3714750" cy="819150"/>
    <xdr:pic>
      <xdr:nvPicPr>
        <xdr:cNvPr id="10" name="image35.png" title="Image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6</xdr:row>
      <xdr:rowOff>209550</xdr:rowOff>
    </xdr:from>
    <xdr:ext cx="6600825" cy="2428875"/>
    <xdr:pic>
      <xdr:nvPicPr>
        <xdr:cNvPr id="2" name="image33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971550</xdr:colOff>
      <xdr:row>1</xdr:row>
      <xdr:rowOff>133350</xdr:rowOff>
    </xdr:from>
    <xdr:ext cx="3086100" cy="228600"/>
    <xdr:pic>
      <xdr:nvPicPr>
        <xdr:cNvPr id="3" name="image27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2</xdr:row>
      <xdr:rowOff>161925</xdr:rowOff>
    </xdr:from>
    <xdr:ext cx="4752975" cy="857250"/>
    <xdr:pic>
      <xdr:nvPicPr>
        <xdr:cNvPr id="4" name="image39.png" title="Imag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20</xdr:row>
      <xdr:rowOff>66675</xdr:rowOff>
    </xdr:from>
    <xdr:ext cx="3314700" cy="276225"/>
    <xdr:pic>
      <xdr:nvPicPr>
        <xdr:cNvPr id="5" name="image23.png" title="Imag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20</xdr:row>
      <xdr:rowOff>57150</xdr:rowOff>
    </xdr:from>
    <xdr:ext cx="5124450" cy="800100"/>
    <xdr:pic>
      <xdr:nvPicPr>
        <xdr:cNvPr id="6" name="image37.png" title="Image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24</xdr:row>
      <xdr:rowOff>9525</xdr:rowOff>
    </xdr:from>
    <xdr:ext cx="4343400" cy="2238375"/>
    <xdr:pic>
      <xdr:nvPicPr>
        <xdr:cNvPr id="7" name="image32.png" title="Image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28575</xdr:rowOff>
    </xdr:from>
    <xdr:ext cx="2533650" cy="323850"/>
    <xdr:pic>
      <xdr:nvPicPr>
        <xdr:cNvPr id="8" name="image38.png" title="Image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41</xdr:row>
      <xdr:rowOff>19050</xdr:rowOff>
    </xdr:from>
    <xdr:ext cx="2943225" cy="857250"/>
    <xdr:pic>
      <xdr:nvPicPr>
        <xdr:cNvPr id="9" name="image31.png" title="Image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38</xdr:row>
      <xdr:rowOff>152400</xdr:rowOff>
    </xdr:from>
    <xdr:ext cx="1314450" cy="476250"/>
    <xdr:pic>
      <xdr:nvPicPr>
        <xdr:cNvPr id="10" name="image25.png" title="Image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45</xdr:row>
      <xdr:rowOff>190500</xdr:rowOff>
    </xdr:from>
    <xdr:ext cx="4686300" cy="276225"/>
    <xdr:pic>
      <xdr:nvPicPr>
        <xdr:cNvPr id="11" name="image30.png" title="Image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47</xdr:row>
      <xdr:rowOff>66675</xdr:rowOff>
    </xdr:from>
    <xdr:ext cx="838200" cy="276225"/>
    <xdr:pic>
      <xdr:nvPicPr>
        <xdr:cNvPr id="12" name="image40.png" title="Image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rhea.org/rhea/index.php/MLE_Examples:_Binomial_and_Poisson_Distributions_Old_Kiwi" TargetMode="External"/><Relationship Id="rId2" Type="http://schemas.openxmlformats.org/officeDocument/2006/relationships/hyperlink" Target="https://www.projectrhea.org/rhea/index.php/MLE_Examples:_Exponential_and_Geometric_Distributions_Old_Kiwi" TargetMode="External"/><Relationship Id="rId1" Type="http://schemas.openxmlformats.org/officeDocument/2006/relationships/hyperlink" Target="https://www.projectrhea.org/rhea/index.php/Maximum_Likelihood_Estimation_Analysis_for_various_Probability_Distributions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R100"/>
  <sheetViews>
    <sheetView workbookViewId="0">
      <selection activeCell="L17" sqref="L17"/>
    </sheetView>
  </sheetViews>
  <sheetFormatPr defaultColWidth="14.42578125" defaultRowHeight="15.75" customHeight="1" x14ac:dyDescent="0.15"/>
  <cols>
    <col min="1" max="1" width="12.5390625" customWidth="1"/>
    <col min="2" max="2" width="20.765625" customWidth="1"/>
    <col min="7" max="7" width="23.05859375" customWidth="1"/>
  </cols>
  <sheetData>
    <row r="4" spans="1:9" ht="15.75" customHeight="1" x14ac:dyDescent="0.1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3" t="s">
        <v>7</v>
      </c>
    </row>
    <row r="5" spans="1:9" ht="12.75" x14ac:dyDescent="0.15">
      <c r="B5" s="4" t="s">
        <v>8</v>
      </c>
      <c r="C5" s="5">
        <v>345</v>
      </c>
      <c r="D5" s="5">
        <v>135</v>
      </c>
      <c r="E5" s="5">
        <v>20</v>
      </c>
      <c r="I5" s="6">
        <f t="shared" ref="I5:I10" si="0">IF(COUNT(C5:H5)&gt;0, SUM(C5:H5), "")</f>
        <v>500</v>
      </c>
    </row>
    <row r="6" spans="1:9" ht="12.75" x14ac:dyDescent="0.15">
      <c r="B6" s="4" t="s">
        <v>9</v>
      </c>
      <c r="C6" s="5">
        <v>222</v>
      </c>
      <c r="D6" s="5">
        <v>20</v>
      </c>
      <c r="E6" s="5">
        <v>8</v>
      </c>
      <c r="I6" s="6">
        <f t="shared" si="0"/>
        <v>250</v>
      </c>
    </row>
    <row r="7" spans="1:9" ht="12.75" x14ac:dyDescent="0.15">
      <c r="B7" s="4" t="s">
        <v>10</v>
      </c>
      <c r="I7" s="6" t="str">
        <f t="shared" si="0"/>
        <v/>
      </c>
    </row>
    <row r="8" spans="1:9" ht="12.75" x14ac:dyDescent="0.15">
      <c r="B8" s="4" t="s">
        <v>11</v>
      </c>
      <c r="I8" s="6" t="str">
        <f t="shared" si="0"/>
        <v/>
      </c>
    </row>
    <row r="9" spans="1:9" ht="12.75" x14ac:dyDescent="0.15">
      <c r="B9" s="4" t="s">
        <v>12</v>
      </c>
      <c r="I9" s="6" t="str">
        <f t="shared" si="0"/>
        <v/>
      </c>
    </row>
    <row r="10" spans="1:9" ht="12.75" x14ac:dyDescent="0.15">
      <c r="B10" s="4" t="s">
        <v>13</v>
      </c>
      <c r="I10" s="6" t="str">
        <f t="shared" si="0"/>
        <v/>
      </c>
    </row>
    <row r="11" spans="1:9" ht="12.75" x14ac:dyDescent="0.15">
      <c r="B11" s="7" t="s">
        <v>7</v>
      </c>
      <c r="C11" s="8">
        <f t="shared" ref="C11:I11" si="1">IF(COUNT(C5:C10)&gt;0, SUM(C5:C10), "")</f>
        <v>567</v>
      </c>
      <c r="D11" s="8">
        <f t="shared" si="1"/>
        <v>155</v>
      </c>
      <c r="E11" s="8">
        <f t="shared" si="1"/>
        <v>28</v>
      </c>
      <c r="F11" s="8" t="str">
        <f t="shared" si="1"/>
        <v/>
      </c>
      <c r="G11" s="8" t="str">
        <f t="shared" si="1"/>
        <v/>
      </c>
      <c r="H11" s="8" t="str">
        <f t="shared" si="1"/>
        <v/>
      </c>
      <c r="I11" s="9">
        <f t="shared" si="1"/>
        <v>750</v>
      </c>
    </row>
    <row r="12" spans="1:9" ht="12.75" x14ac:dyDescent="0.15">
      <c r="A12" s="10"/>
    </row>
    <row r="13" spans="1:9" ht="12.75" x14ac:dyDescent="0.15">
      <c r="A13" s="10"/>
    </row>
    <row r="16" spans="1:9" ht="12.75" x14ac:dyDescent="0.15">
      <c r="B16" s="1" t="s">
        <v>14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3" t="s">
        <v>7</v>
      </c>
    </row>
    <row r="17" spans="2:18" ht="12.75" x14ac:dyDescent="0.15">
      <c r="B17" s="4" t="s">
        <v>8</v>
      </c>
      <c r="C17" s="5">
        <f t="shared" ref="C17:H17" si="2">C$23*$I17/$I$23</f>
        <v>378</v>
      </c>
      <c r="D17" s="5">
        <f t="shared" si="2"/>
        <v>103.33333333333333</v>
      </c>
      <c r="E17" s="5">
        <f t="shared" si="2"/>
        <v>18.666666666666668</v>
      </c>
      <c r="F17" s="5" t="e">
        <f t="shared" si="2"/>
        <v>#VALUE!</v>
      </c>
      <c r="G17" s="5" t="e">
        <f>G$23*$I17/$I$23</f>
        <v>#VALUE!</v>
      </c>
      <c r="H17" s="5" t="e">
        <f t="shared" si="2"/>
        <v>#VALUE!</v>
      </c>
      <c r="I17" s="6">
        <f>I5</f>
        <v>500</v>
      </c>
    </row>
    <row r="18" spans="2:18" ht="12.75" x14ac:dyDescent="0.15">
      <c r="B18" s="4" t="s">
        <v>9</v>
      </c>
      <c r="C18" s="5">
        <f t="shared" ref="C18:H18" si="3">C$23*$I18/$I$23</f>
        <v>189</v>
      </c>
      <c r="D18" s="5">
        <f t="shared" si="3"/>
        <v>51.666666666666664</v>
      </c>
      <c r="E18" s="5">
        <f t="shared" si="3"/>
        <v>9.3333333333333339</v>
      </c>
      <c r="F18" s="5" t="e">
        <f t="shared" si="3"/>
        <v>#VALUE!</v>
      </c>
      <c r="G18" s="5" t="e">
        <f t="shared" si="3"/>
        <v>#VALUE!</v>
      </c>
      <c r="H18" s="5" t="e">
        <f t="shared" si="3"/>
        <v>#VALUE!</v>
      </c>
      <c r="I18" s="6">
        <f t="shared" ref="I17:I22" si="4">I6</f>
        <v>250</v>
      </c>
    </row>
    <row r="19" spans="2:18" ht="12.75" x14ac:dyDescent="0.15">
      <c r="B19" s="4" t="s">
        <v>10</v>
      </c>
      <c r="C19" s="5" t="e">
        <f t="shared" ref="C19:H19" si="5">C$23*$I19/$I$23</f>
        <v>#VALUE!</v>
      </c>
      <c r="D19" s="5" t="e">
        <f t="shared" si="5"/>
        <v>#VALUE!</v>
      </c>
      <c r="E19" s="5" t="e">
        <f t="shared" si="5"/>
        <v>#VALUE!</v>
      </c>
      <c r="F19" s="5" t="e">
        <f t="shared" si="5"/>
        <v>#VALUE!</v>
      </c>
      <c r="G19" s="5" t="e">
        <f t="shared" si="5"/>
        <v>#VALUE!</v>
      </c>
      <c r="H19" s="5" t="e">
        <f t="shared" si="5"/>
        <v>#VALUE!</v>
      </c>
      <c r="I19" s="6" t="str">
        <f t="shared" si="4"/>
        <v/>
      </c>
    </row>
    <row r="20" spans="2:18" ht="12.75" x14ac:dyDescent="0.15">
      <c r="B20" s="4" t="s">
        <v>11</v>
      </c>
      <c r="C20" s="5" t="e">
        <f t="shared" ref="C20:H20" si="6">C$23*$I20/$I$23</f>
        <v>#VALUE!</v>
      </c>
      <c r="D20" s="5" t="e">
        <f t="shared" si="6"/>
        <v>#VALUE!</v>
      </c>
      <c r="E20" s="5" t="e">
        <f t="shared" si="6"/>
        <v>#VALUE!</v>
      </c>
      <c r="F20" s="5" t="e">
        <f t="shared" si="6"/>
        <v>#VALUE!</v>
      </c>
      <c r="G20" s="5" t="e">
        <f t="shared" si="6"/>
        <v>#VALUE!</v>
      </c>
      <c r="H20" s="5" t="e">
        <f t="shared" si="6"/>
        <v>#VALUE!</v>
      </c>
      <c r="I20" s="6" t="str">
        <f t="shared" si="4"/>
        <v/>
      </c>
    </row>
    <row r="21" spans="2:18" ht="12.75" x14ac:dyDescent="0.15">
      <c r="B21" s="4" t="s">
        <v>12</v>
      </c>
      <c r="C21" s="5" t="e">
        <f t="shared" ref="C21:H21" si="7">C$23*$I21/$I$23</f>
        <v>#VALUE!</v>
      </c>
      <c r="D21" s="5" t="e">
        <f t="shared" si="7"/>
        <v>#VALUE!</v>
      </c>
      <c r="E21" s="5" t="e">
        <f t="shared" si="7"/>
        <v>#VALUE!</v>
      </c>
      <c r="F21" s="5" t="e">
        <f t="shared" si="7"/>
        <v>#VALUE!</v>
      </c>
      <c r="G21" s="5" t="e">
        <f t="shared" si="7"/>
        <v>#VALUE!</v>
      </c>
      <c r="H21" s="5" t="e">
        <f t="shared" si="7"/>
        <v>#VALUE!</v>
      </c>
      <c r="I21" s="6" t="str">
        <f t="shared" si="4"/>
        <v/>
      </c>
    </row>
    <row r="22" spans="2:18" ht="12.75" x14ac:dyDescent="0.15">
      <c r="B22" s="4" t="s">
        <v>13</v>
      </c>
      <c r="C22" s="5" t="e">
        <f t="shared" ref="C22:H22" si="8">C$23*$I22/$I$23</f>
        <v>#VALUE!</v>
      </c>
      <c r="D22" s="5" t="e">
        <f t="shared" si="8"/>
        <v>#VALUE!</v>
      </c>
      <c r="E22" s="5" t="e">
        <f t="shared" si="8"/>
        <v>#VALUE!</v>
      </c>
      <c r="F22" s="5" t="e">
        <f t="shared" si="8"/>
        <v>#VALUE!</v>
      </c>
      <c r="G22" s="5" t="e">
        <f t="shared" si="8"/>
        <v>#VALUE!</v>
      </c>
      <c r="H22" s="5" t="e">
        <f t="shared" si="8"/>
        <v>#VALUE!</v>
      </c>
      <c r="I22" s="6" t="str">
        <f t="shared" si="4"/>
        <v/>
      </c>
    </row>
    <row r="23" spans="2:18" ht="12.75" x14ac:dyDescent="0.15">
      <c r="B23" s="7" t="s">
        <v>7</v>
      </c>
      <c r="C23" s="8">
        <f t="shared" ref="C23:I23" si="9">C11</f>
        <v>567</v>
      </c>
      <c r="D23" s="8">
        <f t="shared" si="9"/>
        <v>155</v>
      </c>
      <c r="E23" s="8">
        <f t="shared" si="9"/>
        <v>28</v>
      </c>
      <c r="F23" s="8" t="str">
        <f t="shared" si="9"/>
        <v/>
      </c>
      <c r="G23" s="8" t="str">
        <f t="shared" si="9"/>
        <v/>
      </c>
      <c r="H23" s="8" t="str">
        <f t="shared" si="9"/>
        <v/>
      </c>
      <c r="I23" s="9">
        <f t="shared" si="9"/>
        <v>750</v>
      </c>
    </row>
    <row r="26" spans="2:18" ht="12.75" x14ac:dyDescent="0.15">
      <c r="M26" s="11"/>
      <c r="N26" s="10"/>
      <c r="O26" s="10"/>
      <c r="P26" s="10"/>
      <c r="Q26" s="10"/>
      <c r="R26" s="10"/>
    </row>
    <row r="27" spans="2:18" ht="12.75" x14ac:dyDescent="0.15">
      <c r="L27" s="10"/>
    </row>
    <row r="28" spans="2:18" ht="12.75" x14ac:dyDescent="0.15">
      <c r="B28" s="10" t="s">
        <v>15</v>
      </c>
      <c r="L28" s="10"/>
    </row>
    <row r="29" spans="2:18" ht="12.75" x14ac:dyDescent="0.15">
      <c r="C29" s="12">
        <f t="shared" ref="C29:H29" si="10">IF(C17&lt;&gt;0, (C17-C5)^2/C17, "")</f>
        <v>2.8809523809523809</v>
      </c>
      <c r="D29" s="13">
        <f t="shared" si="10"/>
        <v>9.7043010752688197</v>
      </c>
      <c r="E29" s="13">
        <f t="shared" si="10"/>
        <v>9.5238095238095066E-2</v>
      </c>
      <c r="F29" s="13" t="e">
        <f t="shared" si="10"/>
        <v>#VALUE!</v>
      </c>
      <c r="G29" s="13" t="e">
        <f t="shared" si="10"/>
        <v>#VALUE!</v>
      </c>
      <c r="H29" s="14" t="e">
        <f t="shared" si="10"/>
        <v>#VALUE!</v>
      </c>
      <c r="L29" s="10"/>
    </row>
    <row r="30" spans="2:18" ht="12.75" x14ac:dyDescent="0.15">
      <c r="C30" s="15">
        <f t="shared" ref="C30:H30" si="11">IF(C18&lt;&gt;0, (C18-C6)^2/C18, "")</f>
        <v>5.7619047619047619</v>
      </c>
      <c r="D30" s="5">
        <f t="shared" si="11"/>
        <v>19.408602150537632</v>
      </c>
      <c r="E30" s="5">
        <f t="shared" si="11"/>
        <v>0.19047619047619063</v>
      </c>
      <c r="F30" s="5" t="e">
        <f t="shared" si="11"/>
        <v>#VALUE!</v>
      </c>
      <c r="G30" s="5" t="e">
        <f>IF(G18&lt;&gt;0, (G18-G6)^2/G18, "")</f>
        <v>#VALUE!</v>
      </c>
      <c r="H30" s="6" t="e">
        <f t="shared" si="11"/>
        <v>#VALUE!</v>
      </c>
      <c r="L30" s="10"/>
    </row>
    <row r="31" spans="2:18" ht="12.75" x14ac:dyDescent="0.15">
      <c r="C31" s="15" t="e">
        <f t="shared" ref="C31:H31" si="12">IF(C19&lt;&gt;0, (C19-C7)^2/C19, "")</f>
        <v>#VALUE!</v>
      </c>
      <c r="D31" s="5" t="e">
        <f t="shared" si="12"/>
        <v>#VALUE!</v>
      </c>
      <c r="E31" s="5" t="e">
        <f t="shared" si="12"/>
        <v>#VALUE!</v>
      </c>
      <c r="F31" s="5" t="e">
        <f t="shared" si="12"/>
        <v>#VALUE!</v>
      </c>
      <c r="G31" s="5" t="e">
        <f t="shared" si="12"/>
        <v>#VALUE!</v>
      </c>
      <c r="H31" s="6" t="e">
        <f t="shared" si="12"/>
        <v>#VALUE!</v>
      </c>
      <c r="L31" s="10"/>
    </row>
    <row r="32" spans="2:18" ht="12.75" x14ac:dyDescent="0.15">
      <c r="C32" s="15" t="e">
        <f t="shared" ref="C32:H32" si="13">IF(C20&lt;&gt;0, (C20-C8)^2/C20, "")</f>
        <v>#VALUE!</v>
      </c>
      <c r="D32" s="5" t="e">
        <f t="shared" si="13"/>
        <v>#VALUE!</v>
      </c>
      <c r="E32" s="5" t="e">
        <f t="shared" si="13"/>
        <v>#VALUE!</v>
      </c>
      <c r="F32" s="5" t="e">
        <f t="shared" si="13"/>
        <v>#VALUE!</v>
      </c>
      <c r="G32" s="5" t="e">
        <f t="shared" si="13"/>
        <v>#VALUE!</v>
      </c>
      <c r="H32" s="6" t="e">
        <f t="shared" si="13"/>
        <v>#VALUE!</v>
      </c>
      <c r="L32" s="10"/>
    </row>
    <row r="33" spans="2:8" ht="12.75" x14ac:dyDescent="0.15">
      <c r="C33" s="15" t="e">
        <f t="shared" ref="C33:H33" si="14">IF(C21&lt;&gt;0, (C21-C9)^2/C21, "")</f>
        <v>#VALUE!</v>
      </c>
      <c r="D33" s="5" t="e">
        <f t="shared" si="14"/>
        <v>#VALUE!</v>
      </c>
      <c r="E33" s="5" t="e">
        <f t="shared" si="14"/>
        <v>#VALUE!</v>
      </c>
      <c r="F33" s="5" t="e">
        <f t="shared" si="14"/>
        <v>#VALUE!</v>
      </c>
      <c r="G33" s="5" t="e">
        <f t="shared" si="14"/>
        <v>#VALUE!</v>
      </c>
      <c r="H33" s="6" t="e">
        <f t="shared" si="14"/>
        <v>#VALUE!</v>
      </c>
    </row>
    <row r="34" spans="2:8" ht="12.75" x14ac:dyDescent="0.15">
      <c r="C34" s="16" t="e">
        <f t="shared" ref="C34:H34" si="15">IF(C22&lt;&gt;0, (C22-C10)^2/C22, "")</f>
        <v>#VALUE!</v>
      </c>
      <c r="D34" s="8" t="e">
        <f t="shared" si="15"/>
        <v>#VALUE!</v>
      </c>
      <c r="E34" s="8" t="e">
        <f t="shared" si="15"/>
        <v>#VALUE!</v>
      </c>
      <c r="F34" s="8" t="e">
        <f t="shared" si="15"/>
        <v>#VALUE!</v>
      </c>
      <c r="G34" s="8" t="e">
        <f t="shared" si="15"/>
        <v>#VALUE!</v>
      </c>
      <c r="H34" s="9" t="e">
        <f t="shared" si="15"/>
        <v>#VALUE!</v>
      </c>
    </row>
    <row r="38" spans="2:8" ht="12.75" x14ac:dyDescent="0.15">
      <c r="B38" s="17" t="s">
        <v>16</v>
      </c>
      <c r="C38" s="18">
        <v>5.0000000000000001E-3</v>
      </c>
    </row>
    <row r="39" spans="2:8" ht="12.75" x14ac:dyDescent="0.15">
      <c r="B39" s="4" t="s">
        <v>17</v>
      </c>
      <c r="C39" s="6" t="e">
        <f>SUM(C29:H34)</f>
        <v>#VALUE!</v>
      </c>
    </row>
    <row r="40" spans="2:8" ht="12.75" x14ac:dyDescent="0.15">
      <c r="B40" s="4" t="s">
        <v>18</v>
      </c>
      <c r="C40" s="6">
        <f>COUNT(C11:H11)</f>
        <v>3</v>
      </c>
    </row>
    <row r="41" spans="2:8" ht="12.75" x14ac:dyDescent="0.15">
      <c r="B41" s="4" t="s">
        <v>19</v>
      </c>
      <c r="C41" s="6">
        <f>COUNT(I5:I10)</f>
        <v>2</v>
      </c>
    </row>
    <row r="42" spans="2:8" ht="12.75" x14ac:dyDescent="0.15">
      <c r="B42" s="4" t="s">
        <v>20</v>
      </c>
      <c r="C42" s="6">
        <f>(C40-1)*(C41-1)</f>
        <v>2</v>
      </c>
    </row>
    <row r="43" spans="2:8" ht="12.75" x14ac:dyDescent="0.15">
      <c r="B43" s="4" t="s">
        <v>21</v>
      </c>
      <c r="C43" s="6">
        <f>CHIINV(C38, C42)</f>
        <v>10.596634733096073</v>
      </c>
    </row>
    <row r="44" spans="2:8" ht="12.75" x14ac:dyDescent="0.15">
      <c r="B44" s="7" t="s">
        <v>22</v>
      </c>
      <c r="C44" s="19" t="e">
        <f>C39&gt;C43</f>
        <v>#VALUE!</v>
      </c>
    </row>
    <row r="49" spans="2:12" ht="12.75" x14ac:dyDescent="0.15">
      <c r="B49" s="55" t="s">
        <v>23</v>
      </c>
      <c r="C49" s="56"/>
      <c r="D49" s="56"/>
      <c r="E49" s="56"/>
      <c r="F49" s="56"/>
      <c r="G49" s="56"/>
      <c r="H49" s="56"/>
    </row>
    <row r="50" spans="2:12" ht="12.75" x14ac:dyDescent="0.15">
      <c r="B50" s="17" t="s">
        <v>24</v>
      </c>
      <c r="C50" s="2" t="s">
        <v>25</v>
      </c>
      <c r="D50" s="2" t="s">
        <v>26</v>
      </c>
      <c r="E50" s="2" t="s">
        <v>27</v>
      </c>
      <c r="F50" s="13"/>
      <c r="G50" s="13"/>
      <c r="H50" s="14"/>
    </row>
    <row r="51" spans="2:12" ht="12.75" x14ac:dyDescent="0.15">
      <c r="B51" s="20">
        <v>0.5</v>
      </c>
      <c r="C51" s="5">
        <v>180</v>
      </c>
      <c r="D51" s="5">
        <f t="shared" ref="D51:D56" si="16">396*_xlfn.EXPON.DIST(B51, 0.666666666666, FALSE)</f>
        <v>189.16426599135426</v>
      </c>
      <c r="E51" s="5">
        <f t="shared" ref="E51:E57" si="17">IF(D51&lt;&gt;"",(C51-D51)^2/D51,"")</f>
        <v>0.443972706579427</v>
      </c>
      <c r="G51" s="10" t="s">
        <v>16</v>
      </c>
      <c r="H51" s="21">
        <v>0.05</v>
      </c>
    </row>
    <row r="52" spans="2:12" ht="12.75" x14ac:dyDescent="0.15">
      <c r="B52" s="15">
        <f t="shared" ref="B52:B100" si="18">B51+1</f>
        <v>1.5</v>
      </c>
      <c r="C52" s="22">
        <v>108</v>
      </c>
      <c r="D52" s="5">
        <f t="shared" si="16"/>
        <v>97.120172469260766</v>
      </c>
      <c r="E52" s="5">
        <f t="shared" si="17"/>
        <v>1.2188059811785914</v>
      </c>
      <c r="G52" s="10" t="s">
        <v>28</v>
      </c>
      <c r="H52" s="23">
        <v>1</v>
      </c>
    </row>
    <row r="53" spans="2:12" ht="14.25" x14ac:dyDescent="0.15">
      <c r="B53" s="15">
        <f t="shared" si="18"/>
        <v>2.5</v>
      </c>
      <c r="C53" s="22">
        <v>60</v>
      </c>
      <c r="D53" s="5">
        <f t="shared" si="16"/>
        <v>49.863159149149567</v>
      </c>
      <c r="E53" s="5">
        <f t="shared" si="17"/>
        <v>2.0607507464200183</v>
      </c>
      <c r="G53" s="10" t="s">
        <v>29</v>
      </c>
      <c r="H53" s="24">
        <f>COUNT(C51:C100)-H52-1</f>
        <v>4</v>
      </c>
    </row>
    <row r="54" spans="2:12" ht="12.75" x14ac:dyDescent="0.15">
      <c r="B54" s="15">
        <f t="shared" si="18"/>
        <v>3.5</v>
      </c>
      <c r="C54" s="22">
        <v>30</v>
      </c>
      <c r="D54" s="5">
        <f t="shared" si="16"/>
        <v>25.600599516237065</v>
      </c>
      <c r="E54" s="5">
        <f t="shared" si="17"/>
        <v>0.75602622525530727</v>
      </c>
      <c r="G54" s="10" t="s">
        <v>17</v>
      </c>
      <c r="H54" s="6">
        <f>SUM(E51:E100)</f>
        <v>4.6620544329260536</v>
      </c>
    </row>
    <row r="55" spans="2:12" ht="12.75" x14ac:dyDescent="0.15">
      <c r="B55" s="15">
        <f t="shared" si="18"/>
        <v>4.5</v>
      </c>
      <c r="C55" s="22">
        <v>12</v>
      </c>
      <c r="D55" s="5">
        <f t="shared" si="16"/>
        <v>13.143786049142367</v>
      </c>
      <c r="E55" s="5">
        <f t="shared" si="17"/>
        <v>9.9533461768275544E-2</v>
      </c>
      <c r="G55" s="10" t="s">
        <v>21</v>
      </c>
      <c r="H55" s="6">
        <f>CHIINV(H51, H53)</f>
        <v>9.4877290367811575</v>
      </c>
    </row>
    <row r="56" spans="2:12" ht="12.75" x14ac:dyDescent="0.15">
      <c r="B56" s="15">
        <f t="shared" si="18"/>
        <v>5.5</v>
      </c>
      <c r="C56" s="5">
        <v>6</v>
      </c>
      <c r="D56" s="5">
        <f t="shared" si="16"/>
        <v>6.7482447665359491</v>
      </c>
      <c r="E56" s="5">
        <f t="shared" si="17"/>
        <v>8.2965311724434221E-2</v>
      </c>
      <c r="G56" s="10" t="s">
        <v>22</v>
      </c>
      <c r="H56" s="6" t="b">
        <f>H54&gt;H55</f>
        <v>0</v>
      </c>
    </row>
    <row r="57" spans="2:12" ht="12.75" x14ac:dyDescent="0.15">
      <c r="B57" s="15">
        <f t="shared" si="18"/>
        <v>6.5</v>
      </c>
      <c r="E57" s="5" t="str">
        <f t="shared" si="17"/>
        <v/>
      </c>
      <c r="H57" s="25"/>
    </row>
    <row r="58" spans="2:12" ht="12.75" x14ac:dyDescent="0.15">
      <c r="B58" s="15">
        <f t="shared" si="18"/>
        <v>7.5</v>
      </c>
      <c r="E58" s="5" t="str">
        <f>IF(D58&lt;&gt;"",(C51-D58)^2/D58,"")</f>
        <v/>
      </c>
      <c r="H58" s="25"/>
    </row>
    <row r="59" spans="2:12" ht="12.75" x14ac:dyDescent="0.15">
      <c r="B59" s="15">
        <f t="shared" si="18"/>
        <v>8.5</v>
      </c>
      <c r="E59" s="5" t="str">
        <f t="shared" ref="E59:E100" si="19">IF(D59&lt;&gt;"",(C59-D59)^2/D59,"")</f>
        <v/>
      </c>
      <c r="H59" s="25"/>
    </row>
    <row r="60" spans="2:12" ht="12.75" x14ac:dyDescent="0.15">
      <c r="B60" s="15">
        <f t="shared" si="18"/>
        <v>9.5</v>
      </c>
      <c r="E60" s="5" t="str">
        <f t="shared" si="19"/>
        <v/>
      </c>
      <c r="H60" s="25"/>
    </row>
    <row r="61" spans="2:12" ht="12.75" x14ac:dyDescent="0.15">
      <c r="B61" s="15">
        <f t="shared" si="18"/>
        <v>10.5</v>
      </c>
      <c r="E61" s="5" t="str">
        <f t="shared" si="19"/>
        <v/>
      </c>
      <c r="H61" s="25"/>
      <c r="J61" s="11"/>
      <c r="K61" s="11"/>
      <c r="L61" s="11"/>
    </row>
    <row r="62" spans="2:12" ht="12.75" x14ac:dyDescent="0.15">
      <c r="B62" s="15">
        <f t="shared" si="18"/>
        <v>11.5</v>
      </c>
      <c r="E62" s="5" t="str">
        <f t="shared" si="19"/>
        <v/>
      </c>
      <c r="H62" s="25"/>
    </row>
    <row r="63" spans="2:12" ht="12.75" x14ac:dyDescent="0.15">
      <c r="B63" s="15">
        <f t="shared" si="18"/>
        <v>12.5</v>
      </c>
      <c r="E63" s="5" t="str">
        <f t="shared" si="19"/>
        <v/>
      </c>
      <c r="H63" s="25"/>
    </row>
    <row r="64" spans="2:12" ht="12.75" x14ac:dyDescent="0.15">
      <c r="B64" s="15">
        <f t="shared" si="18"/>
        <v>13.5</v>
      </c>
      <c r="E64" s="5" t="str">
        <f t="shared" si="19"/>
        <v/>
      </c>
      <c r="H64" s="25"/>
    </row>
    <row r="65" spans="2:8" ht="12.75" x14ac:dyDescent="0.15">
      <c r="B65" s="15">
        <f t="shared" si="18"/>
        <v>14.5</v>
      </c>
      <c r="E65" s="5" t="str">
        <f t="shared" si="19"/>
        <v/>
      </c>
      <c r="H65" s="25"/>
    </row>
    <row r="66" spans="2:8" ht="12.75" x14ac:dyDescent="0.15">
      <c r="B66" s="15">
        <f t="shared" si="18"/>
        <v>15.5</v>
      </c>
      <c r="E66" s="5" t="str">
        <f t="shared" si="19"/>
        <v/>
      </c>
      <c r="H66" s="25"/>
    </row>
    <row r="67" spans="2:8" ht="12.75" x14ac:dyDescent="0.15">
      <c r="B67" s="15">
        <f t="shared" si="18"/>
        <v>16.5</v>
      </c>
      <c r="E67" s="5" t="str">
        <f t="shared" si="19"/>
        <v/>
      </c>
      <c r="H67" s="25"/>
    </row>
    <row r="68" spans="2:8" ht="12.75" x14ac:dyDescent="0.15">
      <c r="B68" s="15">
        <f t="shared" si="18"/>
        <v>17.5</v>
      </c>
      <c r="E68" s="5" t="str">
        <f t="shared" si="19"/>
        <v/>
      </c>
      <c r="H68" s="25"/>
    </row>
    <row r="69" spans="2:8" ht="12.75" x14ac:dyDescent="0.15">
      <c r="B69" s="15">
        <f t="shared" si="18"/>
        <v>18.5</v>
      </c>
      <c r="E69" s="5" t="str">
        <f t="shared" si="19"/>
        <v/>
      </c>
      <c r="H69" s="25"/>
    </row>
    <row r="70" spans="2:8" ht="12.75" x14ac:dyDescent="0.15">
      <c r="B70" s="15">
        <f t="shared" si="18"/>
        <v>19.5</v>
      </c>
      <c r="E70" s="5" t="str">
        <f t="shared" si="19"/>
        <v/>
      </c>
      <c r="H70" s="25"/>
    </row>
    <row r="71" spans="2:8" ht="12.75" x14ac:dyDescent="0.15">
      <c r="B71" s="15">
        <f t="shared" si="18"/>
        <v>20.5</v>
      </c>
      <c r="E71" s="5" t="str">
        <f t="shared" si="19"/>
        <v/>
      </c>
      <c r="H71" s="25"/>
    </row>
    <row r="72" spans="2:8" ht="12.75" x14ac:dyDescent="0.15">
      <c r="B72" s="15">
        <f t="shared" si="18"/>
        <v>21.5</v>
      </c>
      <c r="E72" s="5" t="str">
        <f t="shared" si="19"/>
        <v/>
      </c>
      <c r="H72" s="25"/>
    </row>
    <row r="73" spans="2:8" ht="12.75" x14ac:dyDescent="0.15">
      <c r="B73" s="15">
        <f t="shared" si="18"/>
        <v>22.5</v>
      </c>
      <c r="E73" s="5" t="str">
        <f t="shared" si="19"/>
        <v/>
      </c>
      <c r="H73" s="25"/>
    </row>
    <row r="74" spans="2:8" ht="12.75" x14ac:dyDescent="0.15">
      <c r="B74" s="15">
        <f t="shared" si="18"/>
        <v>23.5</v>
      </c>
      <c r="E74" s="5" t="str">
        <f t="shared" si="19"/>
        <v/>
      </c>
      <c r="H74" s="25"/>
    </row>
    <row r="75" spans="2:8" ht="12.75" x14ac:dyDescent="0.15">
      <c r="B75" s="15">
        <f t="shared" si="18"/>
        <v>24.5</v>
      </c>
      <c r="E75" s="5" t="str">
        <f t="shared" si="19"/>
        <v/>
      </c>
      <c r="H75" s="25"/>
    </row>
    <row r="76" spans="2:8" ht="12.75" x14ac:dyDescent="0.15">
      <c r="B76" s="15">
        <f t="shared" si="18"/>
        <v>25.5</v>
      </c>
      <c r="E76" s="5" t="str">
        <f t="shared" si="19"/>
        <v/>
      </c>
      <c r="H76" s="25"/>
    </row>
    <row r="77" spans="2:8" ht="12.75" x14ac:dyDescent="0.15">
      <c r="B77" s="15">
        <f t="shared" si="18"/>
        <v>26.5</v>
      </c>
      <c r="E77" s="5" t="str">
        <f t="shared" si="19"/>
        <v/>
      </c>
      <c r="H77" s="25"/>
    </row>
    <row r="78" spans="2:8" ht="12.75" x14ac:dyDescent="0.15">
      <c r="B78" s="15">
        <f t="shared" si="18"/>
        <v>27.5</v>
      </c>
      <c r="E78" s="5" t="str">
        <f t="shared" si="19"/>
        <v/>
      </c>
      <c r="H78" s="25"/>
    </row>
    <row r="79" spans="2:8" ht="12.75" x14ac:dyDescent="0.15">
      <c r="B79" s="15">
        <f t="shared" si="18"/>
        <v>28.5</v>
      </c>
      <c r="E79" s="5" t="str">
        <f t="shared" si="19"/>
        <v/>
      </c>
      <c r="H79" s="25"/>
    </row>
    <row r="80" spans="2:8" ht="12.75" x14ac:dyDescent="0.15">
      <c r="B80" s="15">
        <f t="shared" si="18"/>
        <v>29.5</v>
      </c>
      <c r="E80" s="5" t="str">
        <f t="shared" si="19"/>
        <v/>
      </c>
      <c r="H80" s="25"/>
    </row>
    <row r="81" spans="2:8" ht="12.75" x14ac:dyDescent="0.15">
      <c r="B81" s="15">
        <f t="shared" si="18"/>
        <v>30.5</v>
      </c>
      <c r="E81" s="5" t="str">
        <f t="shared" si="19"/>
        <v/>
      </c>
      <c r="H81" s="25"/>
    </row>
    <row r="82" spans="2:8" ht="12.75" x14ac:dyDescent="0.15">
      <c r="B82" s="15">
        <f t="shared" si="18"/>
        <v>31.5</v>
      </c>
      <c r="E82" s="5" t="str">
        <f t="shared" si="19"/>
        <v/>
      </c>
      <c r="H82" s="25"/>
    </row>
    <row r="83" spans="2:8" ht="12.75" x14ac:dyDescent="0.15">
      <c r="B83" s="15">
        <f t="shared" si="18"/>
        <v>32.5</v>
      </c>
      <c r="E83" s="5" t="str">
        <f t="shared" si="19"/>
        <v/>
      </c>
      <c r="H83" s="25"/>
    </row>
    <row r="84" spans="2:8" ht="12.75" x14ac:dyDescent="0.15">
      <c r="B84" s="15">
        <f t="shared" si="18"/>
        <v>33.5</v>
      </c>
      <c r="E84" s="5" t="str">
        <f t="shared" si="19"/>
        <v/>
      </c>
      <c r="H84" s="25"/>
    </row>
    <row r="85" spans="2:8" ht="12.75" x14ac:dyDescent="0.15">
      <c r="B85" s="15">
        <f t="shared" si="18"/>
        <v>34.5</v>
      </c>
      <c r="E85" s="5" t="str">
        <f t="shared" si="19"/>
        <v/>
      </c>
      <c r="H85" s="25"/>
    </row>
    <row r="86" spans="2:8" ht="12.75" x14ac:dyDescent="0.15">
      <c r="B86" s="15">
        <f t="shared" si="18"/>
        <v>35.5</v>
      </c>
      <c r="E86" s="5" t="str">
        <f t="shared" si="19"/>
        <v/>
      </c>
      <c r="H86" s="25"/>
    </row>
    <row r="87" spans="2:8" ht="12.75" x14ac:dyDescent="0.15">
      <c r="B87" s="15">
        <f t="shared" si="18"/>
        <v>36.5</v>
      </c>
      <c r="E87" s="5" t="str">
        <f t="shared" si="19"/>
        <v/>
      </c>
      <c r="H87" s="25"/>
    </row>
    <row r="88" spans="2:8" ht="12.75" x14ac:dyDescent="0.15">
      <c r="B88" s="15">
        <f t="shared" si="18"/>
        <v>37.5</v>
      </c>
      <c r="E88" s="5" t="str">
        <f t="shared" si="19"/>
        <v/>
      </c>
      <c r="H88" s="25"/>
    </row>
    <row r="89" spans="2:8" ht="12.75" x14ac:dyDescent="0.15">
      <c r="B89" s="15">
        <f t="shared" si="18"/>
        <v>38.5</v>
      </c>
      <c r="E89" s="5" t="str">
        <f t="shared" si="19"/>
        <v/>
      </c>
      <c r="H89" s="25"/>
    </row>
    <row r="90" spans="2:8" ht="12.75" x14ac:dyDescent="0.15">
      <c r="B90" s="15">
        <f t="shared" si="18"/>
        <v>39.5</v>
      </c>
      <c r="E90" s="5" t="str">
        <f t="shared" si="19"/>
        <v/>
      </c>
      <c r="H90" s="25"/>
    </row>
    <row r="91" spans="2:8" ht="12.75" x14ac:dyDescent="0.15">
      <c r="B91" s="15">
        <f t="shared" si="18"/>
        <v>40.5</v>
      </c>
      <c r="E91" s="5" t="str">
        <f t="shared" si="19"/>
        <v/>
      </c>
      <c r="H91" s="25"/>
    </row>
    <row r="92" spans="2:8" ht="12.75" x14ac:dyDescent="0.15">
      <c r="B92" s="15">
        <f t="shared" si="18"/>
        <v>41.5</v>
      </c>
      <c r="E92" s="5" t="str">
        <f t="shared" si="19"/>
        <v/>
      </c>
      <c r="H92" s="25"/>
    </row>
    <row r="93" spans="2:8" ht="12.75" x14ac:dyDescent="0.15">
      <c r="B93" s="15">
        <f t="shared" si="18"/>
        <v>42.5</v>
      </c>
      <c r="E93" s="5" t="str">
        <f t="shared" si="19"/>
        <v/>
      </c>
      <c r="H93" s="25"/>
    </row>
    <row r="94" spans="2:8" ht="12.75" x14ac:dyDescent="0.15">
      <c r="B94" s="15">
        <f t="shared" si="18"/>
        <v>43.5</v>
      </c>
      <c r="E94" s="5" t="str">
        <f t="shared" si="19"/>
        <v/>
      </c>
      <c r="H94" s="25"/>
    </row>
    <row r="95" spans="2:8" ht="12.75" x14ac:dyDescent="0.15">
      <c r="B95" s="15">
        <f t="shared" si="18"/>
        <v>44.5</v>
      </c>
      <c r="E95" s="5" t="str">
        <f t="shared" si="19"/>
        <v/>
      </c>
      <c r="H95" s="25"/>
    </row>
    <row r="96" spans="2:8" ht="12.75" x14ac:dyDescent="0.15">
      <c r="B96" s="15">
        <f t="shared" si="18"/>
        <v>45.5</v>
      </c>
      <c r="E96" s="5" t="str">
        <f t="shared" si="19"/>
        <v/>
      </c>
      <c r="H96" s="25"/>
    </row>
    <row r="97" spans="2:8" ht="12.75" x14ac:dyDescent="0.15">
      <c r="B97" s="15">
        <f t="shared" si="18"/>
        <v>46.5</v>
      </c>
      <c r="E97" s="5" t="str">
        <f t="shared" si="19"/>
        <v/>
      </c>
      <c r="H97" s="25"/>
    </row>
    <row r="98" spans="2:8" ht="12.75" x14ac:dyDescent="0.15">
      <c r="B98" s="15">
        <f t="shared" si="18"/>
        <v>47.5</v>
      </c>
      <c r="E98" s="5" t="str">
        <f t="shared" si="19"/>
        <v/>
      </c>
      <c r="H98" s="25"/>
    </row>
    <row r="99" spans="2:8" ht="12.75" x14ac:dyDescent="0.15">
      <c r="B99" s="15">
        <f t="shared" si="18"/>
        <v>48.5</v>
      </c>
      <c r="E99" s="5" t="str">
        <f t="shared" si="19"/>
        <v/>
      </c>
      <c r="H99" s="25"/>
    </row>
    <row r="100" spans="2:8" ht="12.75" x14ac:dyDescent="0.15">
      <c r="B100" s="16">
        <f t="shared" si="18"/>
        <v>49.5</v>
      </c>
      <c r="C100" s="8"/>
      <c r="D100" s="8"/>
      <c r="E100" s="8" t="str">
        <f t="shared" si="19"/>
        <v/>
      </c>
      <c r="F100" s="8"/>
      <c r="G100" s="8"/>
      <c r="H100" s="9"/>
    </row>
  </sheetData>
  <mergeCells count="1">
    <mergeCell ref="B49:H49"/>
  </mergeCell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L80"/>
  <sheetViews>
    <sheetView tabSelected="1" workbookViewId="0">
      <selection activeCell="B8" sqref="B8:C8"/>
    </sheetView>
  </sheetViews>
  <sheetFormatPr defaultColWidth="14.42578125" defaultRowHeight="15.75" customHeight="1" x14ac:dyDescent="0.15"/>
  <cols>
    <col min="3" max="3" width="12.40625" customWidth="1"/>
    <col min="5" max="5" width="16.44921875" customWidth="1"/>
    <col min="6" max="6" width="14.42578125" customWidth="1"/>
  </cols>
  <sheetData>
    <row r="3" spans="2:11" ht="12.75" x14ac:dyDescent="0.15">
      <c r="B3" s="57" t="s">
        <v>30</v>
      </c>
      <c r="C3" s="59"/>
      <c r="E3" s="57" t="s">
        <v>31</v>
      </c>
      <c r="F3" s="58"/>
      <c r="G3" s="59"/>
      <c r="I3" s="57" t="s">
        <v>32</v>
      </c>
      <c r="J3" s="58"/>
      <c r="K3" s="59"/>
    </row>
    <row r="4" spans="2:11" ht="12.75" x14ac:dyDescent="0.15">
      <c r="B4" s="4" t="s">
        <v>33</v>
      </c>
      <c r="C4" s="28" t="s">
        <v>34</v>
      </c>
      <c r="E4" s="4" t="s">
        <v>35</v>
      </c>
      <c r="F4" s="10" t="s">
        <v>36</v>
      </c>
      <c r="G4" s="28" t="s">
        <v>37</v>
      </c>
      <c r="I4" s="4" t="s">
        <v>35</v>
      </c>
      <c r="J4" s="10" t="s">
        <v>36</v>
      </c>
      <c r="K4" s="28" t="s">
        <v>37</v>
      </c>
    </row>
    <row r="5" spans="2:11" ht="12.75" x14ac:dyDescent="0.15">
      <c r="B5" s="16">
        <v>-7</v>
      </c>
      <c r="C5" s="29">
        <f>_xlfn.NORM.DIST(B5, 0, 1, TRUE)</f>
        <v>1.2798125438858352E-12</v>
      </c>
      <c r="E5" s="16">
        <v>2</v>
      </c>
      <c r="F5" s="8">
        <v>0.97499999999999998</v>
      </c>
      <c r="G5" s="30">
        <f>_xlfn.T.INV(F5, E5)</f>
        <v>4.3026527297494619</v>
      </c>
      <c r="I5" s="16">
        <v>2</v>
      </c>
      <c r="J5" s="8">
        <v>0.97499999999999998</v>
      </c>
      <c r="K5" s="30">
        <f>CHIINV(1-J5, I5)</f>
        <v>7.3777589082278707</v>
      </c>
    </row>
    <row r="8" spans="2:11" ht="16.5" customHeight="1" x14ac:dyDescent="0.15">
      <c r="B8" s="57" t="s">
        <v>38</v>
      </c>
      <c r="C8" s="59"/>
      <c r="E8" s="57" t="s">
        <v>39</v>
      </c>
      <c r="F8" s="58"/>
      <c r="G8" s="58"/>
      <c r="H8" s="58"/>
      <c r="I8" s="58"/>
      <c r="J8" s="58"/>
      <c r="K8" s="59"/>
    </row>
    <row r="9" spans="2:11" ht="12.75" x14ac:dyDescent="0.15">
      <c r="B9" s="4" t="s">
        <v>40</v>
      </c>
      <c r="C9" s="25">
        <v>150</v>
      </c>
      <c r="E9" s="15"/>
      <c r="K9" s="25"/>
    </row>
    <row r="10" spans="2:11" ht="12.75" x14ac:dyDescent="0.15">
      <c r="B10" s="4" t="s">
        <v>41</v>
      </c>
      <c r="C10" s="25">
        <v>300</v>
      </c>
      <c r="E10" s="4" t="s">
        <v>42</v>
      </c>
      <c r="F10" s="10" t="s">
        <v>43</v>
      </c>
      <c r="G10" s="10" t="s">
        <v>44</v>
      </c>
      <c r="I10" s="10"/>
      <c r="K10" s="25"/>
    </row>
    <row r="11" spans="2:11" ht="12.75" x14ac:dyDescent="0.15">
      <c r="B11" s="4" t="s">
        <v>45</v>
      </c>
      <c r="C11" s="25">
        <v>100</v>
      </c>
      <c r="E11" s="15">
        <v>40</v>
      </c>
      <c r="F11" s="5">
        <v>0.4</v>
      </c>
      <c r="G11" s="5">
        <f t="shared" ref="G11:G13" si="0">1-F11</f>
        <v>0.6</v>
      </c>
      <c r="I11" s="17" t="s">
        <v>46</v>
      </c>
      <c r="J11" s="14">
        <f>SUMPRODUCT(E11:E22, F11:F22)</f>
        <v>83</v>
      </c>
      <c r="K11" s="25"/>
    </row>
    <row r="12" spans="2:11" ht="12.75" x14ac:dyDescent="0.15">
      <c r="B12" s="4" t="s">
        <v>47</v>
      </c>
      <c r="C12" s="31">
        <f>SQRT((C10-C9^2/C11)/C11)</f>
        <v>0.8660254037844386</v>
      </c>
      <c r="E12" s="15">
        <v>50</v>
      </c>
      <c r="F12" s="5">
        <v>0.5</v>
      </c>
      <c r="G12" s="5">
        <f t="shared" si="0"/>
        <v>0.5</v>
      </c>
      <c r="I12" s="4" t="s">
        <v>48</v>
      </c>
      <c r="J12" s="6">
        <f>SUMPRODUCT(E11:E22, F11:F22, G11:G22)</f>
        <v>34.700000000000003</v>
      </c>
      <c r="K12" s="25"/>
    </row>
    <row r="13" spans="2:11" ht="12.75" x14ac:dyDescent="0.15">
      <c r="B13" s="4" t="s">
        <v>49</v>
      </c>
      <c r="C13" s="31">
        <f>SQRT((C10-C9^2/C11)/(C11-1))</f>
        <v>0.8703882797784892</v>
      </c>
      <c r="E13" s="15">
        <v>60</v>
      </c>
      <c r="F13" s="5">
        <v>0.7</v>
      </c>
      <c r="G13" s="5">
        <f t="shared" si="0"/>
        <v>0.30000000000000004</v>
      </c>
      <c r="I13" s="7" t="s">
        <v>50</v>
      </c>
      <c r="J13" s="9">
        <f>SQRT(J12)</f>
        <v>5.8906705900092566</v>
      </c>
      <c r="K13" s="25"/>
    </row>
    <row r="14" spans="2:11" ht="12.75" x14ac:dyDescent="0.15">
      <c r="B14" s="7" t="s">
        <v>46</v>
      </c>
      <c r="C14" s="30">
        <f>C9/C11</f>
        <v>1.5</v>
      </c>
      <c r="E14" s="15"/>
      <c r="G14" s="5"/>
      <c r="K14" s="25"/>
    </row>
    <row r="15" spans="2:11" ht="12.75" x14ac:dyDescent="0.15">
      <c r="E15" s="15"/>
      <c r="G15" s="5"/>
      <c r="K15" s="25"/>
    </row>
    <row r="16" spans="2:11" ht="12.75" x14ac:dyDescent="0.15">
      <c r="E16" s="15"/>
      <c r="G16" s="5"/>
      <c r="K16" s="25"/>
    </row>
    <row r="17" spans="2:12" ht="12.75" x14ac:dyDescent="0.15">
      <c r="E17" s="15"/>
      <c r="G17" s="5"/>
      <c r="K17" s="25"/>
    </row>
    <row r="18" spans="2:12" ht="12.75" x14ac:dyDescent="0.15">
      <c r="E18" s="15"/>
      <c r="G18" s="5"/>
      <c r="K18" s="25"/>
    </row>
    <row r="19" spans="2:12" ht="12.75" x14ac:dyDescent="0.15">
      <c r="E19" s="15"/>
      <c r="G19" s="5"/>
      <c r="K19" s="25"/>
    </row>
    <row r="20" spans="2:12" ht="12.75" x14ac:dyDescent="0.15">
      <c r="E20" s="15"/>
      <c r="G20" s="5"/>
      <c r="K20" s="25"/>
    </row>
    <row r="21" spans="2:12" ht="12.75" x14ac:dyDescent="0.15">
      <c r="E21" s="15"/>
      <c r="G21" s="5"/>
      <c r="K21" s="25"/>
    </row>
    <row r="22" spans="2:12" ht="12.75" x14ac:dyDescent="0.15">
      <c r="E22" s="16"/>
      <c r="F22" s="8"/>
      <c r="G22" s="8"/>
      <c r="H22" s="8"/>
      <c r="I22" s="8"/>
      <c r="J22" s="8"/>
      <c r="K22" s="9"/>
    </row>
    <row r="28" spans="2:12" ht="12.75" x14ac:dyDescent="0.15">
      <c r="B28" s="57" t="s">
        <v>51</v>
      </c>
      <c r="C28" s="58"/>
      <c r="D28" s="58"/>
      <c r="E28" s="58"/>
      <c r="F28" s="59"/>
      <c r="H28" s="55"/>
      <c r="I28" s="56"/>
      <c r="J28" s="56"/>
      <c r="K28" s="56"/>
      <c r="L28" s="56"/>
    </row>
    <row r="29" spans="2:12" ht="12.75" x14ac:dyDescent="0.15">
      <c r="B29" s="15"/>
      <c r="F29" s="25"/>
    </row>
    <row r="30" spans="2:12" ht="12.75" x14ac:dyDescent="0.15">
      <c r="B30" s="4" t="s">
        <v>52</v>
      </c>
      <c r="C30" s="10"/>
      <c r="F30" s="25"/>
      <c r="H30" s="10"/>
      <c r="I30" s="10"/>
    </row>
    <row r="31" spans="2:12" ht="12.75" x14ac:dyDescent="0.15">
      <c r="B31" s="15">
        <v>169</v>
      </c>
      <c r="E31" s="17" t="s">
        <v>45</v>
      </c>
      <c r="F31" s="14">
        <f>COUNT(B31:B80)</f>
        <v>16</v>
      </c>
      <c r="H31" s="5"/>
      <c r="J31" s="10"/>
      <c r="K31" s="5"/>
    </row>
    <row r="32" spans="2:12" ht="12.75" x14ac:dyDescent="0.15">
      <c r="B32" s="15">
        <v>185</v>
      </c>
      <c r="E32" s="4" t="s">
        <v>47</v>
      </c>
      <c r="F32" s="31">
        <f>_xlfn.STDEV.P(B31:B80)</f>
        <v>16.515144564913744</v>
      </c>
      <c r="H32" s="5"/>
      <c r="J32" s="10"/>
      <c r="K32" s="32"/>
    </row>
    <row r="33" spans="2:11" ht="12.75" x14ac:dyDescent="0.15">
      <c r="B33" s="15">
        <v>150</v>
      </c>
      <c r="E33" s="4" t="s">
        <v>49</v>
      </c>
      <c r="F33" s="31">
        <f>_xlfn.STDEV.S(B31:B80)</f>
        <v>17.056767962698366</v>
      </c>
      <c r="H33" s="5"/>
      <c r="J33" s="10"/>
      <c r="K33" s="32"/>
    </row>
    <row r="34" spans="2:11" ht="12.75" x14ac:dyDescent="0.15">
      <c r="B34" s="15">
        <v>194</v>
      </c>
      <c r="E34" s="7" t="s">
        <v>46</v>
      </c>
      <c r="F34" s="30">
        <f>AVERAGE(B31:B80)</f>
        <v>170</v>
      </c>
      <c r="J34" s="11"/>
      <c r="K34" s="32"/>
    </row>
    <row r="35" spans="2:11" ht="12.75" x14ac:dyDescent="0.15">
      <c r="B35" s="15">
        <v>165</v>
      </c>
      <c r="F35" s="25"/>
    </row>
    <row r="36" spans="2:11" ht="12.75" x14ac:dyDescent="0.15">
      <c r="B36" s="15">
        <v>174</v>
      </c>
      <c r="F36" s="25"/>
    </row>
    <row r="37" spans="2:11" ht="12.75" x14ac:dyDescent="0.15">
      <c r="B37" s="15">
        <v>182</v>
      </c>
      <c r="F37" s="25"/>
    </row>
    <row r="38" spans="2:11" ht="12.75" x14ac:dyDescent="0.15">
      <c r="B38" s="15">
        <v>172</v>
      </c>
      <c r="F38" s="25"/>
      <c r="J38" s="11"/>
    </row>
    <row r="39" spans="2:11" ht="12.75" x14ac:dyDescent="0.15">
      <c r="B39" s="15">
        <v>160</v>
      </c>
      <c r="F39" s="25"/>
      <c r="H39" s="11"/>
      <c r="I39" s="11"/>
      <c r="J39" s="11"/>
    </row>
    <row r="40" spans="2:11" ht="12.75" x14ac:dyDescent="0.15">
      <c r="B40" s="15">
        <v>149</v>
      </c>
      <c r="F40" s="25"/>
    </row>
    <row r="41" spans="2:11" ht="12.75" x14ac:dyDescent="0.15">
      <c r="B41" s="15">
        <v>152</v>
      </c>
      <c r="F41" s="25"/>
    </row>
    <row r="42" spans="2:11" ht="12.75" x14ac:dyDescent="0.15">
      <c r="B42" s="15">
        <v>188</v>
      </c>
      <c r="F42" s="25"/>
    </row>
    <row r="43" spans="2:11" ht="12.75" x14ac:dyDescent="0.15">
      <c r="B43" s="15">
        <v>194</v>
      </c>
      <c r="F43" s="25"/>
    </row>
    <row r="44" spans="2:11" ht="12.75" x14ac:dyDescent="0.15">
      <c r="B44" s="15">
        <v>188</v>
      </c>
      <c r="F44" s="25"/>
    </row>
    <row r="45" spans="2:11" ht="12.75" x14ac:dyDescent="0.15">
      <c r="B45" s="15">
        <v>150</v>
      </c>
      <c r="F45" s="25"/>
    </row>
    <row r="46" spans="2:11" ht="12.75" x14ac:dyDescent="0.15">
      <c r="B46" s="15">
        <v>148</v>
      </c>
      <c r="F46" s="25"/>
    </row>
    <row r="47" spans="2:11" ht="12.75" x14ac:dyDescent="0.15">
      <c r="B47" s="15"/>
      <c r="F47" s="25"/>
    </row>
    <row r="48" spans="2:11" ht="12.75" x14ac:dyDescent="0.15">
      <c r="B48" s="15"/>
      <c r="F48" s="25"/>
    </row>
    <row r="49" spans="2:6" ht="12.75" x14ac:dyDescent="0.15">
      <c r="B49" s="15"/>
      <c r="F49" s="25"/>
    </row>
    <row r="50" spans="2:6" ht="12.75" x14ac:dyDescent="0.15">
      <c r="B50" s="15"/>
      <c r="F50" s="25"/>
    </row>
    <row r="51" spans="2:6" ht="12.75" x14ac:dyDescent="0.15">
      <c r="B51" s="15"/>
      <c r="F51" s="25"/>
    </row>
    <row r="52" spans="2:6" ht="12.75" x14ac:dyDescent="0.15">
      <c r="B52" s="15"/>
      <c r="F52" s="25"/>
    </row>
    <row r="53" spans="2:6" ht="12.75" x14ac:dyDescent="0.15">
      <c r="B53" s="15"/>
      <c r="F53" s="25"/>
    </row>
    <row r="54" spans="2:6" ht="12.75" x14ac:dyDescent="0.15">
      <c r="B54" s="15"/>
      <c r="F54" s="25"/>
    </row>
    <row r="55" spans="2:6" ht="12.75" x14ac:dyDescent="0.15">
      <c r="B55" s="15"/>
      <c r="F55" s="25"/>
    </row>
    <row r="56" spans="2:6" ht="12.75" x14ac:dyDescent="0.15">
      <c r="B56" s="15"/>
      <c r="F56" s="25"/>
    </row>
    <row r="57" spans="2:6" ht="12.75" x14ac:dyDescent="0.15">
      <c r="B57" s="15"/>
      <c r="F57" s="25"/>
    </row>
    <row r="58" spans="2:6" ht="12.75" x14ac:dyDescent="0.15">
      <c r="B58" s="15"/>
      <c r="F58" s="25"/>
    </row>
    <row r="59" spans="2:6" ht="12.75" x14ac:dyDescent="0.15">
      <c r="B59" s="15"/>
      <c r="F59" s="25"/>
    </row>
    <row r="60" spans="2:6" ht="12.75" x14ac:dyDescent="0.15">
      <c r="B60" s="15"/>
      <c r="F60" s="25"/>
    </row>
    <row r="61" spans="2:6" ht="12.75" x14ac:dyDescent="0.15">
      <c r="B61" s="15"/>
      <c r="F61" s="25"/>
    </row>
    <row r="62" spans="2:6" ht="12.75" x14ac:dyDescent="0.15">
      <c r="B62" s="15"/>
      <c r="F62" s="25"/>
    </row>
    <row r="63" spans="2:6" ht="12.75" x14ac:dyDescent="0.15">
      <c r="B63" s="15"/>
      <c r="F63" s="25"/>
    </row>
    <row r="64" spans="2:6" ht="12.75" x14ac:dyDescent="0.15">
      <c r="B64" s="15"/>
      <c r="F64" s="25"/>
    </row>
    <row r="65" spans="2:6" ht="12.75" x14ac:dyDescent="0.15">
      <c r="B65" s="15"/>
      <c r="F65" s="25"/>
    </row>
    <row r="66" spans="2:6" ht="12.75" x14ac:dyDescent="0.15">
      <c r="B66" s="15"/>
      <c r="F66" s="25"/>
    </row>
    <row r="67" spans="2:6" ht="12.75" x14ac:dyDescent="0.15">
      <c r="B67" s="15"/>
      <c r="F67" s="25"/>
    </row>
    <row r="68" spans="2:6" ht="12.75" x14ac:dyDescent="0.15">
      <c r="B68" s="15"/>
      <c r="F68" s="25"/>
    </row>
    <row r="69" spans="2:6" ht="12.75" x14ac:dyDescent="0.15">
      <c r="B69" s="15"/>
      <c r="F69" s="25"/>
    </row>
    <row r="70" spans="2:6" ht="12.75" x14ac:dyDescent="0.15">
      <c r="B70" s="15"/>
      <c r="F70" s="25"/>
    </row>
    <row r="71" spans="2:6" ht="12.75" x14ac:dyDescent="0.15">
      <c r="B71" s="15"/>
      <c r="F71" s="25"/>
    </row>
    <row r="72" spans="2:6" ht="12.75" x14ac:dyDescent="0.15">
      <c r="B72" s="15"/>
      <c r="F72" s="25"/>
    </row>
    <row r="73" spans="2:6" ht="12.75" x14ac:dyDescent="0.15">
      <c r="B73" s="15"/>
      <c r="F73" s="25"/>
    </row>
    <row r="74" spans="2:6" ht="12.75" x14ac:dyDescent="0.15">
      <c r="B74" s="15"/>
      <c r="F74" s="25"/>
    </row>
    <row r="75" spans="2:6" ht="12.75" x14ac:dyDescent="0.15">
      <c r="B75" s="15"/>
      <c r="F75" s="25"/>
    </row>
    <row r="76" spans="2:6" ht="12.75" x14ac:dyDescent="0.15">
      <c r="B76" s="15"/>
      <c r="F76" s="25"/>
    </row>
    <row r="77" spans="2:6" ht="12.75" x14ac:dyDescent="0.15">
      <c r="B77" s="15"/>
      <c r="F77" s="25"/>
    </row>
    <row r="78" spans="2:6" ht="12.75" x14ac:dyDescent="0.15">
      <c r="B78" s="15"/>
      <c r="F78" s="25"/>
    </row>
    <row r="79" spans="2:6" ht="12.75" x14ac:dyDescent="0.15">
      <c r="B79" s="15"/>
      <c r="F79" s="25"/>
    </row>
    <row r="80" spans="2:6" ht="12.75" x14ac:dyDescent="0.15">
      <c r="B80" s="16"/>
      <c r="C80" s="8"/>
      <c r="D80" s="8"/>
      <c r="E80" s="8"/>
      <c r="F80" s="9"/>
    </row>
  </sheetData>
  <mergeCells count="7">
    <mergeCell ref="B28:F28"/>
    <mergeCell ref="H28:L28"/>
    <mergeCell ref="B3:C3"/>
    <mergeCell ref="E3:G3"/>
    <mergeCell ref="I3:K3"/>
    <mergeCell ref="B8:C8"/>
    <mergeCell ref="E8:K8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70"/>
  <sheetViews>
    <sheetView workbookViewId="0">
      <selection activeCell="C8" sqref="C8"/>
    </sheetView>
  </sheetViews>
  <sheetFormatPr defaultColWidth="14.42578125" defaultRowHeight="15.75" customHeight="1" x14ac:dyDescent="0.15"/>
  <cols>
    <col min="2" max="2" width="17.93359375" customWidth="1"/>
    <col min="3" max="3" width="19.28125" customWidth="1"/>
    <col min="4" max="4" width="23.59765625" customWidth="1"/>
    <col min="5" max="5" width="19.6875" customWidth="1"/>
    <col min="6" max="6" width="17.80078125" customWidth="1"/>
  </cols>
  <sheetData>
    <row r="1" spans="1:4" ht="12.75" x14ac:dyDescent="0.15">
      <c r="A1" s="5"/>
    </row>
    <row r="4" spans="1:4" ht="20.25" customHeight="1" x14ac:dyDescent="0.15">
      <c r="B4" s="57" t="s">
        <v>53</v>
      </c>
      <c r="C4" s="58"/>
      <c r="D4" s="59"/>
    </row>
    <row r="5" spans="1:4" ht="12.75" x14ac:dyDescent="0.15">
      <c r="B5" s="4" t="s">
        <v>54</v>
      </c>
      <c r="C5" s="33">
        <v>0.95</v>
      </c>
      <c r="D5" s="25"/>
    </row>
    <row r="6" spans="1:4" ht="14.25" x14ac:dyDescent="0.15">
      <c r="B6" s="4" t="s">
        <v>55</v>
      </c>
      <c r="C6" s="34">
        <v>16</v>
      </c>
      <c r="D6" s="25"/>
    </row>
    <row r="7" spans="1:4" ht="12.75" x14ac:dyDescent="0.15">
      <c r="B7" s="35" t="s">
        <v>56</v>
      </c>
      <c r="C7" s="32">
        <v>170</v>
      </c>
      <c r="D7" s="25"/>
    </row>
    <row r="8" spans="1:4" ht="18" customHeight="1" x14ac:dyDescent="0.15">
      <c r="B8" s="35" t="s">
        <v>57</v>
      </c>
      <c r="C8" s="36">
        <v>17.056999999999999</v>
      </c>
      <c r="D8" s="25"/>
    </row>
    <row r="9" spans="1:4" ht="16.5" customHeight="1" x14ac:dyDescent="0.15">
      <c r="B9" s="35" t="s">
        <v>58</v>
      </c>
      <c r="C9" s="37">
        <f>-_xlfn.T.INV((1-C5)/2, C6 - 1)</f>
        <v>2.1314495455597742</v>
      </c>
      <c r="D9" s="25"/>
    </row>
    <row r="10" spans="1:4" ht="16.5" customHeight="1" x14ac:dyDescent="0.15">
      <c r="B10" s="15"/>
      <c r="C10" s="37">
        <f>C9*C8/SQRT(C6)</f>
        <v>9.089033724653266</v>
      </c>
      <c r="D10" s="25"/>
    </row>
    <row r="11" spans="1:4" ht="21.75" customHeight="1" x14ac:dyDescent="0.15">
      <c r="B11" s="38" t="s">
        <v>59</v>
      </c>
      <c r="C11" s="39">
        <f>C7-C10</f>
        <v>160.91096627534674</v>
      </c>
      <c r="D11" s="40">
        <f>C7+C10</f>
        <v>179.08903372465326</v>
      </c>
    </row>
    <row r="13" spans="1:4" ht="12.75" x14ac:dyDescent="0.15">
      <c r="B13" s="10"/>
    </row>
    <row r="14" spans="1:4" ht="12.75" x14ac:dyDescent="0.15">
      <c r="B14" s="41"/>
      <c r="C14" s="41"/>
    </row>
    <row r="15" spans="1:4" ht="12.75" x14ac:dyDescent="0.15">
      <c r="B15" s="41"/>
      <c r="C15" s="41"/>
    </row>
    <row r="16" spans="1:4" ht="24.75" customHeight="1" x14ac:dyDescent="0.15">
      <c r="B16" s="41"/>
      <c r="C16" s="41"/>
    </row>
    <row r="17" spans="2:7" ht="12.75" x14ac:dyDescent="0.15">
      <c r="B17" s="41"/>
      <c r="C17" s="41"/>
    </row>
    <row r="18" spans="2:7" ht="12.75" x14ac:dyDescent="0.15">
      <c r="B18" s="41"/>
      <c r="C18" s="41"/>
    </row>
    <row r="19" spans="2:7" ht="12.75" x14ac:dyDescent="0.15">
      <c r="B19" s="57" t="s">
        <v>60</v>
      </c>
      <c r="C19" s="58"/>
      <c r="D19" s="59"/>
      <c r="F19" s="42"/>
    </row>
    <row r="20" spans="2:7" ht="12.75" x14ac:dyDescent="0.15">
      <c r="B20" s="4" t="s">
        <v>54</v>
      </c>
      <c r="C20" s="33">
        <v>0.95</v>
      </c>
      <c r="D20" s="25"/>
      <c r="F20" s="42"/>
    </row>
    <row r="21" spans="2:7" ht="12.75" x14ac:dyDescent="0.15">
      <c r="B21" s="43" t="s">
        <v>61</v>
      </c>
      <c r="C21" s="41">
        <v>1.5</v>
      </c>
      <c r="D21" s="25"/>
      <c r="F21" s="42"/>
    </row>
    <row r="22" spans="2:7" ht="12.75" x14ac:dyDescent="0.15">
      <c r="B22" s="43" t="s">
        <v>62</v>
      </c>
      <c r="C22" s="41">
        <v>0.87</v>
      </c>
      <c r="D22" s="25"/>
      <c r="F22" s="42"/>
    </row>
    <row r="23" spans="2:7" ht="12.75" x14ac:dyDescent="0.15">
      <c r="B23" s="43" t="s">
        <v>63</v>
      </c>
      <c r="C23" s="41">
        <v>100</v>
      </c>
      <c r="D23" s="25"/>
      <c r="E23" s="42"/>
    </row>
    <row r="24" spans="2:7" ht="22.5" customHeight="1" x14ac:dyDescent="0.15">
      <c r="B24" s="44"/>
      <c r="C24" s="45">
        <f>-NORMINV((1-C20)/2, 0, 1)</f>
        <v>1.9599639845400536</v>
      </c>
      <c r="D24" s="25"/>
      <c r="E24" s="42"/>
    </row>
    <row r="25" spans="2:7" ht="12.75" x14ac:dyDescent="0.15">
      <c r="B25" s="44"/>
      <c r="C25" s="10">
        <f>C24*C22/SQRT(C23)</f>
        <v>0.17051686665498467</v>
      </c>
      <c r="D25" s="25"/>
      <c r="E25" s="42"/>
    </row>
    <row r="26" spans="2:7" ht="26.25" customHeight="1" x14ac:dyDescent="0.15">
      <c r="B26" s="38" t="s">
        <v>59</v>
      </c>
      <c r="C26" s="46">
        <f>C21-C25</f>
        <v>1.3294831333450152</v>
      </c>
      <c r="D26" s="47">
        <f>C21+C25</f>
        <v>1.6705168666549848</v>
      </c>
      <c r="E26" s="42"/>
    </row>
    <row r="27" spans="2:7" ht="12.75" x14ac:dyDescent="0.15">
      <c r="E27" s="42"/>
    </row>
    <row r="28" spans="2:7" ht="12.75" x14ac:dyDescent="0.15">
      <c r="B28" s="41"/>
      <c r="C28" s="41"/>
      <c r="E28" s="42"/>
    </row>
    <row r="29" spans="2:7" ht="12.75" x14ac:dyDescent="0.15">
      <c r="B29" s="41"/>
      <c r="C29" s="41"/>
      <c r="E29" s="42"/>
    </row>
    <row r="30" spans="2:7" ht="12.75" x14ac:dyDescent="0.15">
      <c r="B30" s="41"/>
      <c r="C30" s="41"/>
      <c r="E30" s="42"/>
    </row>
    <row r="31" spans="2:7" ht="12.75" x14ac:dyDescent="0.15">
      <c r="B31" s="41"/>
      <c r="C31" s="41"/>
      <c r="E31" s="42"/>
      <c r="G31" s="42"/>
    </row>
    <row r="32" spans="2:7" ht="12.75" x14ac:dyDescent="0.15">
      <c r="D32" s="42"/>
    </row>
    <row r="33" spans="4:4" ht="12.75" x14ac:dyDescent="0.15">
      <c r="D33" s="42"/>
    </row>
    <row r="35" spans="4:4" ht="12.75" x14ac:dyDescent="0.15">
      <c r="D35" s="42"/>
    </row>
    <row r="36" spans="4:4" ht="12.75" x14ac:dyDescent="0.15">
      <c r="D36" s="42"/>
    </row>
    <row r="37" spans="4:4" ht="12.75" x14ac:dyDescent="0.15">
      <c r="D37" s="42"/>
    </row>
    <row r="38" spans="4:4" ht="12.75" x14ac:dyDescent="0.15">
      <c r="D38" s="42"/>
    </row>
    <row r="39" spans="4:4" ht="12.75" x14ac:dyDescent="0.15">
      <c r="D39" s="42"/>
    </row>
    <row r="40" spans="4:4" ht="12.75" x14ac:dyDescent="0.15">
      <c r="D40" s="42"/>
    </row>
    <row r="41" spans="4:4" ht="12.75" x14ac:dyDescent="0.15">
      <c r="D41" s="42"/>
    </row>
    <row r="42" spans="4:4" ht="12.75" x14ac:dyDescent="0.15">
      <c r="D42" s="42"/>
    </row>
    <row r="43" spans="4:4" ht="12.75" x14ac:dyDescent="0.15">
      <c r="D43" s="42"/>
    </row>
    <row r="44" spans="4:4" ht="12.75" x14ac:dyDescent="0.15">
      <c r="D44" s="42"/>
    </row>
    <row r="45" spans="4:4" ht="12.75" x14ac:dyDescent="0.15">
      <c r="D45" s="42"/>
    </row>
    <row r="46" spans="4:4" ht="12.75" x14ac:dyDescent="0.15">
      <c r="D46" s="42"/>
    </row>
    <row r="47" spans="4:4" ht="12.75" x14ac:dyDescent="0.15">
      <c r="D47" s="42"/>
    </row>
    <row r="48" spans="4:4" ht="12.75" x14ac:dyDescent="0.15">
      <c r="D48" s="42"/>
    </row>
    <row r="49" spans="4:4" ht="12.75" x14ac:dyDescent="0.15">
      <c r="D49" s="42"/>
    </row>
    <row r="50" spans="4:4" ht="12.75" x14ac:dyDescent="0.15">
      <c r="D50" s="42"/>
    </row>
    <row r="51" spans="4:4" ht="12.75" x14ac:dyDescent="0.15">
      <c r="D51" s="42"/>
    </row>
    <row r="52" spans="4:4" ht="12.75" x14ac:dyDescent="0.15">
      <c r="D52" s="42"/>
    </row>
    <row r="53" spans="4:4" ht="12.75" x14ac:dyDescent="0.15">
      <c r="D53" s="42"/>
    </row>
    <row r="54" spans="4:4" ht="12.75" x14ac:dyDescent="0.15">
      <c r="D54" s="42"/>
    </row>
    <row r="55" spans="4:4" ht="12.75" x14ac:dyDescent="0.15">
      <c r="D55" s="42"/>
    </row>
    <row r="56" spans="4:4" ht="12.75" x14ac:dyDescent="0.15">
      <c r="D56" s="42"/>
    </row>
    <row r="57" spans="4:4" ht="12.75" x14ac:dyDescent="0.15">
      <c r="D57" s="42"/>
    </row>
    <row r="58" spans="4:4" ht="12.75" x14ac:dyDescent="0.15">
      <c r="D58" s="42"/>
    </row>
    <row r="59" spans="4:4" ht="12.75" x14ac:dyDescent="0.15">
      <c r="D59" s="42"/>
    </row>
    <row r="60" spans="4:4" ht="12.75" x14ac:dyDescent="0.15">
      <c r="D60" s="42"/>
    </row>
    <row r="61" spans="4:4" ht="12.75" x14ac:dyDescent="0.15">
      <c r="D61" s="42"/>
    </row>
    <row r="62" spans="4:4" ht="12.75" x14ac:dyDescent="0.15">
      <c r="D62" s="42"/>
    </row>
    <row r="63" spans="4:4" ht="12.75" x14ac:dyDescent="0.15">
      <c r="D63" s="42"/>
    </row>
    <row r="64" spans="4:4" ht="12.75" x14ac:dyDescent="0.15">
      <c r="D64" s="42"/>
    </row>
    <row r="65" spans="4:4" ht="12.75" x14ac:dyDescent="0.15">
      <c r="D65" s="42"/>
    </row>
    <row r="66" spans="4:4" ht="12.75" x14ac:dyDescent="0.15">
      <c r="D66" s="42"/>
    </row>
    <row r="67" spans="4:4" ht="12.75" x14ac:dyDescent="0.15">
      <c r="D67" s="42"/>
    </row>
    <row r="68" spans="4:4" ht="12.75" x14ac:dyDescent="0.15">
      <c r="D68" s="42"/>
    </row>
    <row r="69" spans="4:4" ht="12.75" x14ac:dyDescent="0.15">
      <c r="D69" s="42"/>
    </row>
    <row r="70" spans="4:4" ht="12.75" x14ac:dyDescent="0.15">
      <c r="D70" s="42"/>
    </row>
  </sheetData>
  <mergeCells count="2">
    <mergeCell ref="B4:D4"/>
    <mergeCell ref="B19:D19"/>
  </mergeCells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7"/>
  <sheetViews>
    <sheetView topLeftCell="A13" workbookViewId="0"/>
  </sheetViews>
  <sheetFormatPr defaultColWidth="14.42578125" defaultRowHeight="15.75" customHeight="1" x14ac:dyDescent="0.15"/>
  <cols>
    <col min="2" max="2" width="18.87890625" customWidth="1"/>
  </cols>
  <sheetData>
    <row r="1" spans="1:9" ht="15.75" customHeight="1" x14ac:dyDescent="0.15">
      <c r="A1" t="s">
        <v>64</v>
      </c>
    </row>
    <row r="2" spans="1:9" ht="12.75" x14ac:dyDescent="0.15">
      <c r="B2" s="57" t="s">
        <v>65</v>
      </c>
      <c r="C2" s="58"/>
      <c r="D2" s="58"/>
      <c r="E2" s="58"/>
      <c r="F2" s="59"/>
      <c r="G2" s="10"/>
    </row>
    <row r="3" spans="1:9" ht="12.75" x14ac:dyDescent="0.15">
      <c r="B3" s="4" t="s">
        <v>66</v>
      </c>
      <c r="C3" s="5">
        <v>2</v>
      </c>
      <c r="F3" s="25"/>
    </row>
    <row r="4" spans="1:9" ht="12.75" x14ac:dyDescent="0.15">
      <c r="B4" s="4" t="s">
        <v>67</v>
      </c>
      <c r="C4" s="48">
        <v>0.05</v>
      </c>
      <c r="E4" s="10" t="s">
        <v>68</v>
      </c>
      <c r="F4" s="6">
        <f t="shared" ref="F4:F5" si="0">C5-1</f>
        <v>10</v>
      </c>
      <c r="G4" s="60" t="s">
        <v>69</v>
      </c>
      <c r="H4" s="56"/>
      <c r="I4" s="56"/>
    </row>
    <row r="5" spans="1:9" ht="12.75" x14ac:dyDescent="0.15">
      <c r="B5" s="4" t="s">
        <v>70</v>
      </c>
      <c r="C5" s="5">
        <v>11</v>
      </c>
      <c r="E5" s="10" t="s">
        <v>71</v>
      </c>
      <c r="F5" s="6">
        <f t="shared" si="0"/>
        <v>10</v>
      </c>
    </row>
    <row r="6" spans="1:9" ht="12.75" x14ac:dyDescent="0.15">
      <c r="B6" s="4" t="s">
        <v>72</v>
      </c>
      <c r="C6" s="5">
        <v>11</v>
      </c>
      <c r="E6" s="5"/>
      <c r="F6" s="6">
        <f ca="1">IFERROR(__xludf.DUMMYFUNCTION("AVERAGE.WEIGHTED(C11:C12, F4:F5)"),800)</f>
        <v>800</v>
      </c>
    </row>
    <row r="7" spans="1:9" ht="12.75" x14ac:dyDescent="0.15">
      <c r="B7" s="15"/>
      <c r="E7" s="10" t="s">
        <v>73</v>
      </c>
      <c r="F7" s="49">
        <f ca="1">(C8-C9)/SQRT(F6*(1/C5+1/C6))</f>
        <v>2.4874685927665499</v>
      </c>
    </row>
    <row r="8" spans="1:9" ht="21.75" customHeight="1" x14ac:dyDescent="0.15">
      <c r="B8" s="4" t="s">
        <v>61</v>
      </c>
      <c r="C8" s="5">
        <v>300</v>
      </c>
      <c r="E8" s="10"/>
      <c r="F8" s="25">
        <f>_xlfn.T.INV(1-C4/C3, F4+F5)</f>
        <v>2.0859634472658648</v>
      </c>
    </row>
    <row r="9" spans="1:9" ht="12.75" x14ac:dyDescent="0.15">
      <c r="B9" s="4" t="s">
        <v>74</v>
      </c>
      <c r="C9" s="5">
        <v>270</v>
      </c>
      <c r="E9" s="10" t="s">
        <v>75</v>
      </c>
      <c r="F9" s="6" t="b">
        <f ca="1">ABS(F7)&gt;ABS(F8)</f>
        <v>1</v>
      </c>
    </row>
    <row r="10" spans="1:9" ht="12.75" x14ac:dyDescent="0.15">
      <c r="B10" s="15"/>
      <c r="E10" s="10"/>
      <c r="F10" s="25"/>
    </row>
    <row r="11" spans="1:9" ht="21.75" customHeight="1" x14ac:dyDescent="0.15">
      <c r="B11" s="4" t="s">
        <v>76</v>
      </c>
      <c r="C11" s="5">
        <v>900</v>
      </c>
      <c r="E11" s="10"/>
      <c r="F11" s="25"/>
    </row>
    <row r="12" spans="1:9" ht="12.75" x14ac:dyDescent="0.15">
      <c r="B12" s="7" t="s">
        <v>77</v>
      </c>
      <c r="C12" s="8">
        <v>700</v>
      </c>
      <c r="D12" s="8"/>
      <c r="E12" s="8"/>
      <c r="F12" s="9"/>
    </row>
    <row r="17" spans="2:6" ht="12.75" x14ac:dyDescent="0.15">
      <c r="B17" s="57" t="s">
        <v>78</v>
      </c>
      <c r="C17" s="58"/>
      <c r="D17" s="58"/>
      <c r="E17" s="58"/>
      <c r="F17" s="59"/>
    </row>
    <row r="18" spans="2:6" ht="12.75" x14ac:dyDescent="0.15">
      <c r="B18" s="4" t="s">
        <v>66</v>
      </c>
      <c r="C18" s="5">
        <v>2</v>
      </c>
      <c r="F18" s="25"/>
    </row>
    <row r="19" spans="2:6" ht="12.75" x14ac:dyDescent="0.15">
      <c r="B19" s="4" t="s">
        <v>67</v>
      </c>
      <c r="C19" s="48">
        <v>0.05</v>
      </c>
      <c r="E19" s="10" t="s">
        <v>73</v>
      </c>
      <c r="F19" s="49">
        <f>(C22-C24)/(C23/SQRT(C21))</f>
        <v>4.5825756949558398</v>
      </c>
    </row>
    <row r="20" spans="2:6" ht="12.75" x14ac:dyDescent="0.15">
      <c r="B20" s="15"/>
      <c r="E20" s="10"/>
      <c r="F20" s="25">
        <f>_xlfn.T.INV(1-C19/C18, C21-1)</f>
        <v>2.0859634472658648</v>
      </c>
    </row>
    <row r="21" spans="2:6" ht="12.75" x14ac:dyDescent="0.15">
      <c r="B21" s="4" t="s">
        <v>63</v>
      </c>
      <c r="C21" s="5">
        <v>21</v>
      </c>
      <c r="E21" s="10" t="s">
        <v>75</v>
      </c>
      <c r="F21" s="6" t="b">
        <f>ABS(F19)&gt;ABS(F20)</f>
        <v>1</v>
      </c>
    </row>
    <row r="22" spans="2:6" ht="12.75" x14ac:dyDescent="0.15">
      <c r="B22" s="4" t="s">
        <v>61</v>
      </c>
      <c r="C22" s="5">
        <v>35</v>
      </c>
      <c r="E22" s="10"/>
      <c r="F22" s="25"/>
    </row>
    <row r="23" spans="2:6" ht="12.75" x14ac:dyDescent="0.15">
      <c r="B23" s="4" t="s">
        <v>79</v>
      </c>
      <c r="C23" s="5">
        <v>5</v>
      </c>
      <c r="E23" s="10" t="s">
        <v>80</v>
      </c>
      <c r="F23" s="25">
        <f>_xlfn.T.DIST.2T(F19, C21-1)</f>
        <v>1.8051318805015993E-4</v>
      </c>
    </row>
    <row r="24" spans="2:6" ht="12.75" x14ac:dyDescent="0.15">
      <c r="B24" s="7" t="s">
        <v>81</v>
      </c>
      <c r="C24" s="8">
        <v>30</v>
      </c>
      <c r="D24" s="8"/>
      <c r="E24" s="8"/>
      <c r="F24" s="9"/>
    </row>
    <row r="28" spans="2:6" ht="12.75" x14ac:dyDescent="0.15">
      <c r="B28" s="57" t="s">
        <v>82</v>
      </c>
      <c r="C28" s="58"/>
      <c r="D28" s="58"/>
      <c r="E28" s="58"/>
      <c r="F28" s="59"/>
    </row>
    <row r="29" spans="2:6" ht="12.75" x14ac:dyDescent="0.15">
      <c r="B29" s="4" t="s">
        <v>66</v>
      </c>
      <c r="C29" s="5">
        <v>1</v>
      </c>
      <c r="F29" s="25"/>
    </row>
    <row r="30" spans="2:6" ht="12.75" x14ac:dyDescent="0.15">
      <c r="B30" s="4" t="s">
        <v>67</v>
      </c>
      <c r="C30" s="48">
        <v>0.01</v>
      </c>
      <c r="E30" s="10" t="s">
        <v>83</v>
      </c>
      <c r="F30" s="31">
        <f>(C33-C35)/(C34/SQRT(C32))</f>
        <v>0.91651513899116788</v>
      </c>
    </row>
    <row r="31" spans="2:6" ht="12.75" x14ac:dyDescent="0.15">
      <c r="B31" s="15"/>
      <c r="E31" s="41"/>
      <c r="F31" s="31">
        <f>NORMINV(1-C30/C29,0,1)</f>
        <v>2.3263478740408408</v>
      </c>
    </row>
    <row r="32" spans="2:6" ht="12.75" x14ac:dyDescent="0.15">
      <c r="B32" s="4" t="s">
        <v>63</v>
      </c>
      <c r="C32" s="5">
        <v>21</v>
      </c>
      <c r="E32" s="10" t="s">
        <v>84</v>
      </c>
      <c r="F32" s="6" t="b">
        <f>ABS(F30)&gt;ABS(F31)</f>
        <v>0</v>
      </c>
    </row>
    <row r="33" spans="2:6" ht="12.75" x14ac:dyDescent="0.15">
      <c r="B33" s="4" t="s">
        <v>61</v>
      </c>
      <c r="C33" s="5">
        <v>35</v>
      </c>
      <c r="F33" s="25"/>
    </row>
    <row r="34" spans="2:6" ht="12.75" x14ac:dyDescent="0.15">
      <c r="B34" s="4" t="s">
        <v>62</v>
      </c>
      <c r="C34" s="5">
        <v>25</v>
      </c>
      <c r="E34" s="10" t="s">
        <v>80</v>
      </c>
      <c r="F34" s="6">
        <f>2*(1-_xlfn.NORM.DIST(ABS(F30), 0, 1, TRUE))</f>
        <v>0.35939677082051946</v>
      </c>
    </row>
    <row r="35" spans="2:6" ht="12.75" x14ac:dyDescent="0.15">
      <c r="B35" s="7" t="s">
        <v>81</v>
      </c>
      <c r="C35" s="8">
        <v>30</v>
      </c>
      <c r="D35" s="8"/>
      <c r="E35" s="8"/>
      <c r="F35" s="9"/>
    </row>
    <row r="38" spans="2:6" ht="12.75" x14ac:dyDescent="0.15">
      <c r="B38" s="57" t="s">
        <v>85</v>
      </c>
      <c r="C38" s="58"/>
      <c r="D38" s="58"/>
      <c r="E38" s="58"/>
      <c r="F38" s="59"/>
    </row>
    <row r="39" spans="2:6" ht="12.75" x14ac:dyDescent="0.15">
      <c r="B39" s="4" t="s">
        <v>66</v>
      </c>
      <c r="C39" s="5">
        <v>2</v>
      </c>
      <c r="F39" s="25"/>
    </row>
    <row r="40" spans="2:6" ht="12.75" x14ac:dyDescent="0.15">
      <c r="B40" s="4" t="s">
        <v>67</v>
      </c>
      <c r="C40" s="48">
        <v>0.05</v>
      </c>
      <c r="F40" s="25"/>
    </row>
    <row r="41" spans="2:6" ht="12.75" x14ac:dyDescent="0.15">
      <c r="B41" s="4" t="s">
        <v>70</v>
      </c>
      <c r="C41" s="5">
        <v>11</v>
      </c>
      <c r="E41" s="10" t="s">
        <v>83</v>
      </c>
      <c r="F41" s="49">
        <f>(C44-C45)/SQRT(C47/C41+C48/C42)</f>
        <v>2.4874685927665499</v>
      </c>
    </row>
    <row r="42" spans="2:6" ht="12.75" x14ac:dyDescent="0.15">
      <c r="B42" s="4" t="s">
        <v>72</v>
      </c>
      <c r="C42" s="5">
        <v>11</v>
      </c>
      <c r="E42" s="41"/>
      <c r="F42" s="31">
        <f>NORMINV(1-C40/C39,0,1)</f>
        <v>1.9599639845400536</v>
      </c>
    </row>
    <row r="43" spans="2:6" ht="12.75" x14ac:dyDescent="0.15">
      <c r="B43" s="15"/>
      <c r="E43" s="10" t="s">
        <v>84</v>
      </c>
      <c r="F43" s="6" t="b">
        <f>ABS(F41)&gt;ABS(F42)</f>
        <v>1</v>
      </c>
    </row>
    <row r="44" spans="2:6" ht="12.75" x14ac:dyDescent="0.15">
      <c r="B44" s="4" t="s">
        <v>61</v>
      </c>
      <c r="C44" s="5">
        <v>300</v>
      </c>
      <c r="E44" s="10"/>
      <c r="F44" s="25"/>
    </row>
    <row r="45" spans="2:6" ht="12.75" x14ac:dyDescent="0.15">
      <c r="B45" s="4" t="s">
        <v>74</v>
      </c>
      <c r="C45" s="5">
        <v>270</v>
      </c>
      <c r="F45" s="25"/>
    </row>
    <row r="46" spans="2:6" ht="12.75" x14ac:dyDescent="0.15">
      <c r="B46" s="15"/>
      <c r="F46" s="25"/>
    </row>
    <row r="47" spans="2:6" ht="12.75" x14ac:dyDescent="0.15">
      <c r="B47" s="4" t="s">
        <v>86</v>
      </c>
      <c r="C47" s="5">
        <v>900</v>
      </c>
      <c r="F47" s="25"/>
    </row>
    <row r="48" spans="2:6" ht="12.75" x14ac:dyDescent="0.15">
      <c r="B48" s="7" t="s">
        <v>87</v>
      </c>
      <c r="C48" s="8">
        <v>700</v>
      </c>
      <c r="D48" s="8"/>
      <c r="E48" s="8"/>
      <c r="F48" s="9"/>
    </row>
    <row r="51" spans="2:6" ht="12.75" x14ac:dyDescent="0.15">
      <c r="B51" s="57" t="s">
        <v>88</v>
      </c>
      <c r="C51" s="58"/>
      <c r="D51" s="58"/>
      <c r="E51" s="58"/>
      <c r="F51" s="59"/>
    </row>
    <row r="52" spans="2:6" ht="12.75" x14ac:dyDescent="0.15">
      <c r="B52" s="4" t="s">
        <v>66</v>
      </c>
      <c r="C52" s="5">
        <v>1</v>
      </c>
      <c r="F52" s="25"/>
    </row>
    <row r="53" spans="2:6" ht="12.75" x14ac:dyDescent="0.15">
      <c r="B53" s="4" t="s">
        <v>67</v>
      </c>
      <c r="C53" s="48">
        <v>0.01</v>
      </c>
      <c r="E53" s="10" t="s">
        <v>83</v>
      </c>
      <c r="F53" s="31">
        <f>(C55-C57)/C56</f>
        <v>2.2000000000000002</v>
      </c>
    </row>
    <row r="54" spans="2:6" ht="12.75" x14ac:dyDescent="0.15">
      <c r="B54" s="15"/>
      <c r="E54" s="41"/>
      <c r="F54" s="31">
        <f>NORMINV(1-C53/C52,0,1)</f>
        <v>2.3263478740408408</v>
      </c>
    </row>
    <row r="55" spans="2:6" ht="12.75" x14ac:dyDescent="0.15">
      <c r="B55" s="4" t="s">
        <v>61</v>
      </c>
      <c r="C55" s="5">
        <v>61</v>
      </c>
      <c r="E55" s="10" t="s">
        <v>84</v>
      </c>
      <c r="F55" s="6" t="b">
        <f>ABS(F53)&gt;ABS(F54)</f>
        <v>0</v>
      </c>
    </row>
    <row r="56" spans="2:6" ht="12.75" x14ac:dyDescent="0.15">
      <c r="B56" s="4" t="s">
        <v>62</v>
      </c>
      <c r="C56" s="5">
        <v>5</v>
      </c>
      <c r="F56" s="25"/>
    </row>
    <row r="57" spans="2:6" ht="12.75" x14ac:dyDescent="0.15">
      <c r="B57" s="7" t="s">
        <v>81</v>
      </c>
      <c r="C57" s="8">
        <v>50</v>
      </c>
      <c r="D57" s="8"/>
      <c r="E57" s="50" t="s">
        <v>80</v>
      </c>
      <c r="F57" s="9">
        <f>2*(1-_xlfn.NORM.DIST(ABS(F53), 0, 1, TRUE))</f>
        <v>2.780689502699718E-2</v>
      </c>
    </row>
  </sheetData>
  <mergeCells count="6">
    <mergeCell ref="B51:F51"/>
    <mergeCell ref="B2:F2"/>
    <mergeCell ref="G4:I4"/>
    <mergeCell ref="B17:F17"/>
    <mergeCell ref="B28:F28"/>
    <mergeCell ref="B38:F38"/>
  </mergeCells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J51"/>
  <sheetViews>
    <sheetView topLeftCell="A46" workbookViewId="0">
      <selection activeCell="J27" sqref="J27"/>
    </sheetView>
  </sheetViews>
  <sheetFormatPr defaultColWidth="14.42578125" defaultRowHeight="15.75" customHeight="1" x14ac:dyDescent="0.15"/>
  <cols>
    <col min="2" max="2" width="21.98046875" customWidth="1"/>
  </cols>
  <sheetData>
    <row r="2" spans="2:10" ht="15.75" customHeight="1" x14ac:dyDescent="0.15">
      <c r="B2" s="61" t="s">
        <v>89</v>
      </c>
      <c r="C2" s="58"/>
      <c r="D2" s="58"/>
      <c r="E2" s="58"/>
      <c r="F2" s="58"/>
      <c r="G2" s="58"/>
      <c r="H2" s="58"/>
      <c r="I2" s="58"/>
      <c r="J2" s="59"/>
    </row>
    <row r="3" spans="2:10" ht="12.75" x14ac:dyDescent="0.15">
      <c r="B3" s="4" t="s">
        <v>90</v>
      </c>
      <c r="C3" s="62" t="s">
        <v>91</v>
      </c>
      <c r="D3" s="56"/>
      <c r="E3" s="56"/>
      <c r="F3" s="56"/>
      <c r="G3" s="56"/>
      <c r="H3" s="56"/>
      <c r="I3" s="56"/>
      <c r="J3" s="63"/>
    </row>
    <row r="4" spans="2:10" ht="12.75" x14ac:dyDescent="0.15">
      <c r="B4" s="4" t="s">
        <v>92</v>
      </c>
      <c r="C4" s="62" t="s">
        <v>93</v>
      </c>
      <c r="D4" s="56"/>
      <c r="E4" s="56"/>
      <c r="F4" s="56"/>
      <c r="G4" s="56"/>
      <c r="H4" s="56"/>
      <c r="I4" s="56"/>
      <c r="J4" s="63"/>
    </row>
    <row r="5" spans="2:10" ht="12.75" x14ac:dyDescent="0.15">
      <c r="B5" s="7" t="s">
        <v>94</v>
      </c>
      <c r="C5" s="64" t="s">
        <v>95</v>
      </c>
      <c r="D5" s="65"/>
      <c r="E5" s="65"/>
      <c r="F5" s="65"/>
      <c r="G5" s="65"/>
      <c r="H5" s="65"/>
      <c r="I5" s="65"/>
      <c r="J5" s="66"/>
    </row>
    <row r="8" spans="2:10" ht="12.75" x14ac:dyDescent="0.15">
      <c r="B8" s="67" t="s">
        <v>96</v>
      </c>
      <c r="C8" s="56"/>
      <c r="D8" s="56"/>
      <c r="E8" s="56"/>
      <c r="F8" s="56"/>
      <c r="G8" s="56"/>
      <c r="H8" s="56"/>
      <c r="I8" s="56"/>
      <c r="J8" s="56"/>
    </row>
    <row r="10" spans="2:10" ht="12.75" x14ac:dyDescent="0.15">
      <c r="B10" s="57" t="s">
        <v>97</v>
      </c>
      <c r="C10" s="58"/>
      <c r="D10" s="58"/>
      <c r="E10" s="59"/>
      <c r="G10" s="57" t="s">
        <v>98</v>
      </c>
      <c r="H10" s="58"/>
      <c r="I10" s="58"/>
      <c r="J10" s="59"/>
    </row>
    <row r="11" spans="2:10" ht="12.75" x14ac:dyDescent="0.15">
      <c r="B11" s="15"/>
      <c r="E11" s="25"/>
      <c r="G11" s="15"/>
      <c r="J11" s="25"/>
    </row>
    <row r="12" spans="2:10" ht="12.75" x14ac:dyDescent="0.15">
      <c r="B12" s="15"/>
      <c r="E12" s="25"/>
      <c r="G12" s="15"/>
      <c r="J12" s="25"/>
    </row>
    <row r="13" spans="2:10" ht="12.75" x14ac:dyDescent="0.15">
      <c r="B13" s="15"/>
      <c r="E13" s="25"/>
      <c r="G13" s="15"/>
      <c r="J13" s="25"/>
    </row>
    <row r="14" spans="2:10" ht="12.75" x14ac:dyDescent="0.15">
      <c r="B14" s="17" t="s">
        <v>63</v>
      </c>
      <c r="C14" s="13">
        <v>100</v>
      </c>
      <c r="D14" s="2" t="s">
        <v>99</v>
      </c>
      <c r="E14" s="14">
        <v>5</v>
      </c>
      <c r="G14" s="17" t="s">
        <v>63</v>
      </c>
      <c r="H14" s="13">
        <v>5</v>
      </c>
      <c r="I14" s="2" t="s">
        <v>99</v>
      </c>
      <c r="J14" s="14">
        <v>1</v>
      </c>
    </row>
    <row r="15" spans="2:10" ht="12.75" x14ac:dyDescent="0.15">
      <c r="B15" s="15"/>
      <c r="D15" s="10" t="s">
        <v>100</v>
      </c>
      <c r="E15" s="6">
        <f>1/C14</f>
        <v>0.01</v>
      </c>
      <c r="G15" s="4" t="s">
        <v>101</v>
      </c>
      <c r="H15" s="5">
        <v>0.5</v>
      </c>
      <c r="I15" s="10" t="s">
        <v>100</v>
      </c>
      <c r="J15" s="6">
        <f>_xlfn.BINOM.DIST(J14, H14, H15, FALSE)</f>
        <v>0.15624999999999992</v>
      </c>
    </row>
    <row r="16" spans="2:10" ht="12.75" x14ac:dyDescent="0.15">
      <c r="B16" s="15"/>
      <c r="D16" s="10" t="s">
        <v>102</v>
      </c>
      <c r="E16" s="6">
        <f>E14/C14</f>
        <v>0.05</v>
      </c>
      <c r="G16" s="15"/>
      <c r="I16" s="10" t="s">
        <v>102</v>
      </c>
      <c r="J16" s="6">
        <f>_xlfn.BINOM.DIST(J14, H14, H15, TRUE)</f>
        <v>0.18750000000000003</v>
      </c>
    </row>
    <row r="17" spans="2:10" ht="12.75" x14ac:dyDescent="0.15">
      <c r="B17" s="15"/>
      <c r="D17" s="10" t="s">
        <v>103</v>
      </c>
      <c r="E17" s="6">
        <f>(C14+1)/2</f>
        <v>50.5</v>
      </c>
      <c r="G17" s="15"/>
      <c r="I17" s="10" t="s">
        <v>103</v>
      </c>
      <c r="J17" s="6">
        <f>H14*H15</f>
        <v>2.5</v>
      </c>
    </row>
    <row r="18" spans="2:10" ht="12.75" x14ac:dyDescent="0.15">
      <c r="B18" s="16"/>
      <c r="C18" s="8"/>
      <c r="D18" s="50" t="s">
        <v>48</v>
      </c>
      <c r="E18" s="9">
        <f>(C14^2-1)/12</f>
        <v>833.25</v>
      </c>
      <c r="G18" s="16"/>
      <c r="H18" s="8"/>
      <c r="I18" s="50" t="s">
        <v>48</v>
      </c>
      <c r="J18" s="9">
        <f>H14*H15*(1-H15)</f>
        <v>1.25</v>
      </c>
    </row>
    <row r="20" spans="2:10" ht="12.75" x14ac:dyDescent="0.15">
      <c r="B20" s="57" t="s">
        <v>104</v>
      </c>
      <c r="C20" s="58"/>
      <c r="D20" s="58"/>
      <c r="E20" s="59"/>
      <c r="G20" s="57" t="s">
        <v>105</v>
      </c>
      <c r="H20" s="58"/>
      <c r="I20" s="58"/>
      <c r="J20" s="59"/>
    </row>
    <row r="21" spans="2:10" ht="12.75" x14ac:dyDescent="0.15">
      <c r="B21" s="15"/>
      <c r="E21" s="25"/>
      <c r="G21" s="15"/>
      <c r="J21" s="25"/>
    </row>
    <row r="22" spans="2:10" ht="12.75" x14ac:dyDescent="0.15">
      <c r="B22" s="15"/>
      <c r="E22" s="25"/>
      <c r="G22" s="15"/>
      <c r="J22" s="25"/>
    </row>
    <row r="23" spans="2:10" ht="12.75" x14ac:dyDescent="0.15">
      <c r="B23" s="15"/>
      <c r="E23" s="25"/>
      <c r="G23" s="15"/>
      <c r="J23" s="25"/>
    </row>
    <row r="24" spans="2:10" ht="12.75" x14ac:dyDescent="0.15">
      <c r="B24" s="17" t="s">
        <v>106</v>
      </c>
      <c r="C24" s="27">
        <v>9</v>
      </c>
      <c r="D24" s="2" t="s">
        <v>99</v>
      </c>
      <c r="E24" s="26">
        <v>15</v>
      </c>
      <c r="G24" s="17" t="s">
        <v>101</v>
      </c>
      <c r="H24" s="13">
        <v>0.5</v>
      </c>
      <c r="I24" s="2" t="s">
        <v>99</v>
      </c>
      <c r="J24" s="14">
        <v>2</v>
      </c>
    </row>
    <row r="25" spans="2:10" ht="12.75" x14ac:dyDescent="0.15">
      <c r="B25" s="4"/>
      <c r="D25" s="10" t="s">
        <v>100</v>
      </c>
      <c r="E25" s="6">
        <f>_xlfn.POISSON.DIST(E24, C24, FALSE)</f>
        <v>1.9430666301004745E-2</v>
      </c>
      <c r="G25" s="4"/>
      <c r="I25" s="10" t="s">
        <v>100</v>
      </c>
      <c r="J25" s="6">
        <f>H24*(1-H24)^(J24-1)</f>
        <v>0.25</v>
      </c>
    </row>
    <row r="26" spans="2:10" ht="12.75" x14ac:dyDescent="0.15">
      <c r="B26" s="4"/>
      <c r="D26" s="10" t="s">
        <v>102</v>
      </c>
      <c r="E26" s="6">
        <f>_xlfn.POISSON.DIST(E24, C24, TRUE)</f>
        <v>0.97796434082810102</v>
      </c>
      <c r="G26" s="4"/>
      <c r="I26" s="10" t="s">
        <v>102</v>
      </c>
      <c r="J26" s="6">
        <f>1-(1-H24)^J24</f>
        <v>0.75</v>
      </c>
    </row>
    <row r="27" spans="2:10" ht="12.75" x14ac:dyDescent="0.15">
      <c r="B27" s="15"/>
      <c r="D27" s="10" t="s">
        <v>103</v>
      </c>
      <c r="E27" s="6">
        <f>C24</f>
        <v>9</v>
      </c>
      <c r="G27" s="15"/>
      <c r="I27" s="10" t="s">
        <v>103</v>
      </c>
      <c r="J27" s="6">
        <f>1/H24</f>
        <v>2</v>
      </c>
    </row>
    <row r="28" spans="2:10" ht="12.75" x14ac:dyDescent="0.15">
      <c r="B28" s="16"/>
      <c r="C28" s="8"/>
      <c r="D28" s="50" t="s">
        <v>48</v>
      </c>
      <c r="E28" s="9">
        <f>C24</f>
        <v>9</v>
      </c>
      <c r="G28" s="16"/>
      <c r="H28" s="8"/>
      <c r="I28" s="50" t="s">
        <v>48</v>
      </c>
      <c r="J28" s="9">
        <f>(1-H24)/H24^2</f>
        <v>2</v>
      </c>
    </row>
    <row r="30" spans="2:10" ht="12.75" x14ac:dyDescent="0.15">
      <c r="B30" s="67" t="s">
        <v>107</v>
      </c>
      <c r="C30" s="56"/>
      <c r="D30" s="56"/>
      <c r="E30" s="56"/>
      <c r="F30" s="56"/>
      <c r="G30" s="56"/>
      <c r="H30" s="56"/>
      <c r="I30" s="56"/>
      <c r="J30" s="56"/>
    </row>
    <row r="32" spans="2:10" ht="12.75" x14ac:dyDescent="0.15">
      <c r="B32" s="57" t="s">
        <v>108</v>
      </c>
      <c r="C32" s="58"/>
      <c r="D32" s="58"/>
      <c r="E32" s="59"/>
      <c r="G32" s="57" t="s">
        <v>109</v>
      </c>
      <c r="H32" s="58"/>
      <c r="I32" s="58"/>
      <c r="J32" s="59"/>
    </row>
    <row r="33" spans="2:10" ht="12.75" x14ac:dyDescent="0.15">
      <c r="B33" s="15"/>
      <c r="E33" s="25"/>
      <c r="G33" s="15"/>
      <c r="J33" s="25"/>
    </row>
    <row r="34" spans="2:10" ht="12.75" x14ac:dyDescent="0.15">
      <c r="B34" s="15"/>
      <c r="E34" s="25"/>
      <c r="G34" s="15"/>
      <c r="J34" s="25"/>
    </row>
    <row r="35" spans="2:10" ht="12.75" x14ac:dyDescent="0.15">
      <c r="B35" s="15"/>
      <c r="E35" s="25"/>
      <c r="G35" s="15"/>
      <c r="J35" s="25"/>
    </row>
    <row r="36" spans="2:10" ht="12.75" x14ac:dyDescent="0.15">
      <c r="B36" s="16"/>
      <c r="C36" s="8"/>
      <c r="D36" s="8"/>
      <c r="E36" s="9"/>
      <c r="G36" s="16"/>
      <c r="H36" s="8"/>
      <c r="I36" s="8"/>
      <c r="J36" s="9"/>
    </row>
    <row r="37" spans="2:10" ht="12.75" x14ac:dyDescent="0.15">
      <c r="B37" s="4" t="s">
        <v>110</v>
      </c>
      <c r="C37" s="5">
        <v>0</v>
      </c>
      <c r="D37" s="10" t="s">
        <v>99</v>
      </c>
      <c r="E37" s="25">
        <v>4</v>
      </c>
      <c r="G37" s="4" t="s">
        <v>106</v>
      </c>
      <c r="H37" s="51">
        <v>5</v>
      </c>
      <c r="I37" s="10" t="s">
        <v>99</v>
      </c>
      <c r="J37" s="52">
        <v>2</v>
      </c>
    </row>
    <row r="38" spans="2:10" ht="12.75" x14ac:dyDescent="0.15">
      <c r="B38" s="4" t="s">
        <v>111</v>
      </c>
      <c r="C38" s="5">
        <v>100</v>
      </c>
      <c r="D38" s="10" t="s">
        <v>112</v>
      </c>
      <c r="E38" s="25">
        <f>IF(AND(E37&gt;C37, E37&lt;C38), 1/(C38-C37), 0)</f>
        <v>0.01</v>
      </c>
      <c r="G38" s="15"/>
      <c r="H38" s="5"/>
      <c r="I38" s="10" t="s">
        <v>112</v>
      </c>
      <c r="J38" s="52">
        <f>_xlfn.EXPON.DIST(J37, H37, FALSE)</f>
        <v>2.2699964881242428E-4</v>
      </c>
    </row>
    <row r="39" spans="2:10" ht="12.75" x14ac:dyDescent="0.15">
      <c r="B39" s="4"/>
      <c r="D39" s="10" t="s">
        <v>113</v>
      </c>
      <c r="E39" s="25">
        <f>IF(E37&lt;C37, 0, IF(E37&gt;C38, 1, (E37-C37)/(C38-C37)))</f>
        <v>0.04</v>
      </c>
      <c r="G39" s="15"/>
      <c r="H39" s="5"/>
      <c r="I39" s="10" t="s">
        <v>113</v>
      </c>
      <c r="J39" s="52">
        <f>_xlfn.EXPON.DIST(J37, H37, TRUE)</f>
        <v>0.99995460007023751</v>
      </c>
    </row>
    <row r="40" spans="2:10" ht="12.75" x14ac:dyDescent="0.15">
      <c r="B40" s="15"/>
      <c r="D40" s="10" t="s">
        <v>103</v>
      </c>
      <c r="E40" s="6">
        <f>(C37+C38)/2</f>
        <v>50</v>
      </c>
      <c r="G40" s="15"/>
      <c r="H40" s="5"/>
      <c r="I40" s="10" t="s">
        <v>103</v>
      </c>
      <c r="J40" s="52">
        <f>1/H37</f>
        <v>0.2</v>
      </c>
    </row>
    <row r="41" spans="2:10" ht="12.75" x14ac:dyDescent="0.15">
      <c r="B41" s="16"/>
      <c r="C41" s="8"/>
      <c r="D41" s="50" t="s">
        <v>48</v>
      </c>
      <c r="E41" s="9">
        <f>((C38-C37)^2)/2</f>
        <v>5000</v>
      </c>
      <c r="G41" s="16"/>
      <c r="H41" s="8"/>
      <c r="I41" s="50" t="s">
        <v>48</v>
      </c>
      <c r="J41" s="53">
        <f>1/H37^2</f>
        <v>0.04</v>
      </c>
    </row>
    <row r="42" spans="2:10" ht="12.75" x14ac:dyDescent="0.15">
      <c r="G42" s="5"/>
      <c r="H42" s="5"/>
      <c r="I42" s="5"/>
      <c r="J42" s="5"/>
    </row>
    <row r="43" spans="2:10" ht="12.75" x14ac:dyDescent="0.15">
      <c r="B43" s="57" t="s">
        <v>114</v>
      </c>
      <c r="C43" s="58"/>
      <c r="D43" s="58"/>
      <c r="E43" s="59"/>
      <c r="G43" s="57" t="s">
        <v>115</v>
      </c>
      <c r="H43" s="58"/>
      <c r="I43" s="58"/>
      <c r="J43" s="59"/>
    </row>
    <row r="44" spans="2:10" ht="12.75" x14ac:dyDescent="0.15">
      <c r="B44" s="15"/>
      <c r="E44" s="25"/>
      <c r="G44" s="15"/>
      <c r="J44" s="25"/>
    </row>
    <row r="45" spans="2:10" ht="12.75" x14ac:dyDescent="0.15">
      <c r="B45" s="15"/>
      <c r="E45" s="25"/>
      <c r="G45" s="15"/>
      <c r="J45" s="25"/>
    </row>
    <row r="46" spans="2:10" ht="12.75" x14ac:dyDescent="0.15">
      <c r="B46" s="15"/>
      <c r="E46" s="25"/>
      <c r="G46" s="15"/>
      <c r="J46" s="25"/>
    </row>
    <row r="47" spans="2:10" ht="12.75" x14ac:dyDescent="0.15">
      <c r="B47" s="17" t="s">
        <v>103</v>
      </c>
      <c r="C47" s="13">
        <v>0</v>
      </c>
      <c r="D47" s="2" t="s">
        <v>99</v>
      </c>
      <c r="E47" s="14">
        <v>0.99</v>
      </c>
      <c r="G47" s="15"/>
      <c r="J47" s="25"/>
    </row>
    <row r="48" spans="2:10" ht="12.75" x14ac:dyDescent="0.15">
      <c r="B48" s="4" t="s">
        <v>116</v>
      </c>
      <c r="C48" s="5">
        <v>1</v>
      </c>
      <c r="D48" s="10" t="s">
        <v>112</v>
      </c>
      <c r="E48" s="6">
        <f>_xlfn.NORM.DIST(E47, C47,C48,FALSE)</f>
        <v>0.24439035090699956</v>
      </c>
      <c r="G48" s="16"/>
      <c r="H48" s="8"/>
      <c r="I48" s="8"/>
      <c r="J48" s="9"/>
    </row>
    <row r="49" spans="2:6" ht="12.75" x14ac:dyDescent="0.15">
      <c r="B49" s="15"/>
      <c r="D49" s="10" t="s">
        <v>113</v>
      </c>
      <c r="E49" s="6">
        <f>_xlfn.NORM.DIST(E47, C47,C48,TRUE)</f>
        <v>0.83891294048916909</v>
      </c>
      <c r="F49" s="54"/>
    </row>
    <row r="50" spans="2:6" ht="12.75" x14ac:dyDescent="0.15">
      <c r="B50" s="15"/>
      <c r="D50" s="10" t="s">
        <v>103</v>
      </c>
      <c r="E50" s="25">
        <f t="shared" ref="E50:E51" si="0">C47</f>
        <v>0</v>
      </c>
    </row>
    <row r="51" spans="2:6" ht="12.75" x14ac:dyDescent="0.15">
      <c r="B51" s="16"/>
      <c r="C51" s="8"/>
      <c r="D51" s="50" t="s">
        <v>48</v>
      </c>
      <c r="E51" s="9">
        <f t="shared" si="0"/>
        <v>1</v>
      </c>
    </row>
  </sheetData>
  <mergeCells count="14">
    <mergeCell ref="B43:E43"/>
    <mergeCell ref="G43:J43"/>
    <mergeCell ref="B2:J2"/>
    <mergeCell ref="C3:J3"/>
    <mergeCell ref="C4:J4"/>
    <mergeCell ref="C5:J5"/>
    <mergeCell ref="B8:J8"/>
    <mergeCell ref="B10:E10"/>
    <mergeCell ref="G10:J10"/>
    <mergeCell ref="B20:E20"/>
    <mergeCell ref="G20:J20"/>
    <mergeCell ref="B30:J30"/>
    <mergeCell ref="B32:E32"/>
    <mergeCell ref="G32:J32"/>
  </mergeCells>
  <hyperlinks>
    <hyperlink ref="C3" r:id="rId1" xr:uid="{00000000-0004-0000-0400-000000000000}"/>
    <hyperlink ref="C4" r:id="rId2" xr:uid="{00000000-0004-0000-0400-000001000000}"/>
    <hyperlink ref="C5" r:id="rId3" xr:uid="{00000000-0004-0000-0400-000002000000}"/>
  </hyperlinks>
  <pageMargins left="0" right="0" top="0" bottom="0" header="0" footer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4:F53"/>
  <sheetViews>
    <sheetView workbookViewId="0">
      <selection activeCell="C11" sqref="C11"/>
    </sheetView>
  </sheetViews>
  <sheetFormatPr defaultColWidth="14.42578125" defaultRowHeight="15.75" customHeight="1" x14ac:dyDescent="0.15"/>
  <cols>
    <col min="2" max="2" width="31.1484375" customWidth="1"/>
    <col min="3" max="3" width="20.6328125" customWidth="1"/>
    <col min="5" max="5" width="21.57421875" customWidth="1"/>
  </cols>
  <sheetData>
    <row r="4" spans="2:6" ht="12.75" x14ac:dyDescent="0.15">
      <c r="B4" s="57" t="s">
        <v>117</v>
      </c>
      <c r="C4" s="59"/>
    </row>
    <row r="5" spans="2:6" ht="12.75" x14ac:dyDescent="0.15">
      <c r="B5" s="4" t="s">
        <v>63</v>
      </c>
      <c r="C5" s="25">
        <v>50</v>
      </c>
    </row>
    <row r="6" spans="2:6" ht="12.75" x14ac:dyDescent="0.15">
      <c r="B6" s="4" t="s">
        <v>118</v>
      </c>
      <c r="C6" s="25">
        <v>0.7</v>
      </c>
    </row>
    <row r="7" spans="2:6" ht="15.75" customHeight="1" x14ac:dyDescent="0.15">
      <c r="B7" s="4" t="s">
        <v>119</v>
      </c>
      <c r="C7" s="25">
        <v>10</v>
      </c>
    </row>
    <row r="8" spans="2:6" ht="12.75" x14ac:dyDescent="0.15">
      <c r="B8" s="4" t="s">
        <v>120</v>
      </c>
      <c r="C8" s="25">
        <v>20</v>
      </c>
    </row>
    <row r="9" spans="2:6" ht="12.75" x14ac:dyDescent="0.15">
      <c r="B9" s="4" t="s">
        <v>121</v>
      </c>
      <c r="C9" s="28" t="s">
        <v>122</v>
      </c>
    </row>
    <row r="10" spans="2:6" ht="12.75" x14ac:dyDescent="0.15">
      <c r="B10" s="4" t="s">
        <v>123</v>
      </c>
      <c r="C10" s="52">
        <f>C5*C6+C7</f>
        <v>45</v>
      </c>
      <c r="D10" s="10"/>
      <c r="E10" s="10"/>
      <c r="F10" s="10"/>
    </row>
    <row r="11" spans="2:6" ht="20.25" customHeight="1" x14ac:dyDescent="0.15">
      <c r="B11" s="4" t="s">
        <v>124</v>
      </c>
      <c r="C11" s="6">
        <f>C5*(1-C6)+C8</f>
        <v>35</v>
      </c>
    </row>
    <row r="12" spans="2:6" ht="21.75" customHeight="1" x14ac:dyDescent="0.15">
      <c r="B12" s="4" t="s">
        <v>125</v>
      </c>
      <c r="C12" s="6">
        <f>C10/(C10+C11)</f>
        <v>0.5625</v>
      </c>
    </row>
    <row r="13" spans="2:6" ht="30" customHeight="1" x14ac:dyDescent="0.15">
      <c r="B13" s="4" t="s">
        <v>126</v>
      </c>
      <c r="C13" s="6">
        <f>(C10-1)/(C10+C11-2)</f>
        <v>0.5641025641025641</v>
      </c>
    </row>
    <row r="14" spans="2:6" ht="28.5" customHeight="1" x14ac:dyDescent="0.15">
      <c r="B14" s="4" t="s">
        <v>127</v>
      </c>
      <c r="C14" s="6">
        <f>(C7-1)/(C7+C8-2)</f>
        <v>0.32142857142857145</v>
      </c>
    </row>
    <row r="15" spans="2:6" ht="24.75" customHeight="1" x14ac:dyDescent="0.15">
      <c r="B15" s="4" t="s">
        <v>128</v>
      </c>
      <c r="C15" s="6">
        <f>C7/(C7+C8)</f>
        <v>0.33333333333333331</v>
      </c>
    </row>
    <row r="16" spans="2:6" ht="21" customHeight="1" x14ac:dyDescent="0.15">
      <c r="B16" s="7" t="s">
        <v>129</v>
      </c>
      <c r="C16" s="9">
        <f>C6</f>
        <v>0.7</v>
      </c>
    </row>
    <row r="19" spans="2:3" ht="12.75" x14ac:dyDescent="0.15">
      <c r="C19" s="5"/>
    </row>
    <row r="23" spans="2:3" ht="12.75" x14ac:dyDescent="0.15">
      <c r="B23" s="57" t="s">
        <v>130</v>
      </c>
      <c r="C23" s="59"/>
    </row>
    <row r="24" spans="2:3" ht="12.75" x14ac:dyDescent="0.15">
      <c r="B24" s="4" t="s">
        <v>63</v>
      </c>
      <c r="C24" s="25">
        <v>10</v>
      </c>
    </row>
    <row r="25" spans="2:3" ht="12.75" x14ac:dyDescent="0.15">
      <c r="B25" s="4" t="s">
        <v>118</v>
      </c>
      <c r="C25" s="25">
        <v>8</v>
      </c>
    </row>
    <row r="26" spans="2:3" ht="12.75" x14ac:dyDescent="0.15">
      <c r="B26" s="4" t="s">
        <v>119</v>
      </c>
      <c r="C26" s="25">
        <v>14</v>
      </c>
    </row>
    <row r="27" spans="2:3" ht="12.75" x14ac:dyDescent="0.15">
      <c r="B27" s="4" t="s">
        <v>120</v>
      </c>
      <c r="C27" s="25">
        <v>2</v>
      </c>
    </row>
    <row r="28" spans="2:3" ht="12.75" x14ac:dyDescent="0.15">
      <c r="B28" s="4" t="s">
        <v>121</v>
      </c>
      <c r="C28" s="28" t="s">
        <v>131</v>
      </c>
    </row>
    <row r="29" spans="2:3" ht="12.75" x14ac:dyDescent="0.15">
      <c r="B29" s="4" t="s">
        <v>123</v>
      </c>
      <c r="C29" s="52">
        <f>C24*C25+C26</f>
        <v>94</v>
      </c>
    </row>
    <row r="30" spans="2:3" ht="12.75" x14ac:dyDescent="0.15">
      <c r="B30" s="4" t="s">
        <v>124</v>
      </c>
      <c r="C30" s="6">
        <f>C24+C27</f>
        <v>12</v>
      </c>
    </row>
    <row r="31" spans="2:3" ht="12.75" x14ac:dyDescent="0.15">
      <c r="B31" s="4" t="s">
        <v>132</v>
      </c>
      <c r="C31" s="6">
        <f>C29/C30</f>
        <v>7.833333333333333</v>
      </c>
    </row>
    <row r="32" spans="2:3" ht="12.75" x14ac:dyDescent="0.15">
      <c r="B32" s="4" t="s">
        <v>126</v>
      </c>
      <c r="C32" s="6">
        <f>(C29-1)/C30</f>
        <v>7.75</v>
      </c>
    </row>
    <row r="33" spans="2:5" ht="12.75" x14ac:dyDescent="0.15">
      <c r="B33" s="4" t="s">
        <v>127</v>
      </c>
      <c r="C33" s="6">
        <f>(C26-1)/C27</f>
        <v>6.5</v>
      </c>
    </row>
    <row r="34" spans="2:5" ht="12.75" x14ac:dyDescent="0.15">
      <c r="B34" s="4" t="s">
        <v>128</v>
      </c>
      <c r="C34" s="6">
        <v>7</v>
      </c>
    </row>
    <row r="35" spans="2:5" ht="12.75" x14ac:dyDescent="0.15">
      <c r="B35" s="7" t="s">
        <v>129</v>
      </c>
      <c r="C35" s="9">
        <f>C25</f>
        <v>8</v>
      </c>
    </row>
    <row r="40" spans="2:5" ht="12.75" x14ac:dyDescent="0.15">
      <c r="B40" s="57" t="s">
        <v>133</v>
      </c>
      <c r="C40" s="59"/>
    </row>
    <row r="41" spans="2:5" ht="12.75" x14ac:dyDescent="0.15">
      <c r="B41" s="4" t="s">
        <v>63</v>
      </c>
      <c r="C41" s="25">
        <v>10</v>
      </c>
    </row>
    <row r="42" spans="2:5" ht="12.75" x14ac:dyDescent="0.15">
      <c r="B42" s="4" t="s">
        <v>134</v>
      </c>
      <c r="C42" s="23">
        <v>1.7539215686274512</v>
      </c>
    </row>
    <row r="43" spans="2:5" ht="12.75" x14ac:dyDescent="0.15">
      <c r="B43" s="4" t="s">
        <v>118</v>
      </c>
      <c r="C43" s="23">
        <v>0.77700000000000002</v>
      </c>
    </row>
    <row r="44" spans="2:5" ht="12.75" x14ac:dyDescent="0.15">
      <c r="B44" s="4" t="s">
        <v>135</v>
      </c>
      <c r="C44" s="23">
        <v>9.8039215686274522E-2</v>
      </c>
    </row>
    <row r="45" spans="2:5" ht="12.75" x14ac:dyDescent="0.15">
      <c r="B45" s="4" t="s">
        <v>136</v>
      </c>
      <c r="C45" s="23">
        <v>2</v>
      </c>
    </row>
    <row r="46" spans="2:5" ht="12.75" x14ac:dyDescent="0.15">
      <c r="B46" s="4" t="s">
        <v>121</v>
      </c>
      <c r="C46" s="28" t="s">
        <v>137</v>
      </c>
    </row>
    <row r="47" spans="2:5" ht="12.75" x14ac:dyDescent="0.15">
      <c r="B47" s="4" t="s">
        <v>138</v>
      </c>
      <c r="C47" s="6">
        <f>C48*(C42/C44+(C41*C43)/C45)</f>
        <v>1.4325657894736843</v>
      </c>
    </row>
    <row r="48" spans="2:5" ht="12.75" x14ac:dyDescent="0.15">
      <c r="B48" s="4" t="s">
        <v>139</v>
      </c>
      <c r="C48" s="52">
        <f>1/(1/C44+C41/C45)</f>
        <v>6.5789473684210523E-2</v>
      </c>
      <c r="E48" s="5"/>
    </row>
    <row r="49" spans="2:5" ht="12.75" x14ac:dyDescent="0.15">
      <c r="B49" s="4" t="s">
        <v>132</v>
      </c>
      <c r="C49" s="6">
        <f>C47</f>
        <v>1.4325657894736843</v>
      </c>
      <c r="E49" s="5"/>
    </row>
    <row r="50" spans="2:5" ht="12.75" x14ac:dyDescent="0.15">
      <c r="B50" s="4" t="s">
        <v>126</v>
      </c>
      <c r="C50" s="6">
        <f>C47</f>
        <v>1.4325657894736843</v>
      </c>
    </row>
    <row r="51" spans="2:5" ht="12.75" x14ac:dyDescent="0.15">
      <c r="B51" s="4" t="s">
        <v>127</v>
      </c>
      <c r="C51" s="6">
        <f>C42</f>
        <v>1.7539215686274512</v>
      </c>
    </row>
    <row r="52" spans="2:5" ht="12.75" x14ac:dyDescent="0.15">
      <c r="B52" s="4" t="s">
        <v>128</v>
      </c>
      <c r="C52" s="6">
        <f t="shared" ref="C52:C53" si="0">C42</f>
        <v>1.7539215686274512</v>
      </c>
    </row>
    <row r="53" spans="2:5" ht="12.75" x14ac:dyDescent="0.15">
      <c r="B53" s="7" t="s">
        <v>129</v>
      </c>
      <c r="C53" s="9">
        <f t="shared" si="0"/>
        <v>0.77700000000000002</v>
      </c>
    </row>
  </sheetData>
  <mergeCells count="3">
    <mergeCell ref="B4:C4"/>
    <mergeCell ref="B23:C23"/>
    <mergeCell ref="B40:C40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CHI-squared</vt:lpstr>
      <vt:lpstr>Calc</vt:lpstr>
      <vt:lpstr>Confidence</vt:lpstr>
      <vt:lpstr>Hypothesis</vt:lpstr>
      <vt:lpstr>Distro</vt:lpstr>
      <vt:lpstr>Bayesian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Sethia, Devendra</cp:lastModifiedBy>
  <cp:revision/>
  <dcterms:created xsi:type="dcterms:W3CDTF">2021-05-15T15:51:14Z</dcterms:created>
  <dcterms:modified xsi:type="dcterms:W3CDTF">2022-05-19T22:01:54Z</dcterms:modified>
  <cp:category/>
  <cp:contentStatus/>
</cp:coreProperties>
</file>