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3.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drawings/drawing4.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drawings/drawing5.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drawings/drawing6.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drawings/drawing7.xml" ContentType="application/vnd.openxmlformats-officedocument.drawing+xml"/>
  <Override PartName="/xl/tables/table19.xml" ContentType="application/vnd.openxmlformats-officedocument.spreadsheetml.table+xml"/>
  <Override PartName="/xl/slicers/slicer1.xml" ContentType="application/vnd.ms-excel.slicer+xml"/>
  <Override PartName="/xl/drawings/drawing8.xml" ContentType="application/vnd.openxmlformats-officedocument.drawing+xml"/>
  <Override PartName="/xl/tables/table20.xml" ContentType="application/vnd.openxmlformats-officedocument.spreadsheetml.table+xml"/>
  <Override PartName="/xl/slicers/slicer2.xml" ContentType="application/vnd.ms-excel.slicer+xml"/>
  <Override PartName="/xl/drawings/drawing9.xml" ContentType="application/vnd.openxmlformats-officedocument.drawing+xml"/>
  <Override PartName="/xl/tables/table21.xml" ContentType="application/vnd.openxmlformats-officedocument.spreadsheetml.table+xml"/>
  <Override PartName="/xl/slicers/slicer3.xml" ContentType="application/vnd.ms-excel.slicer+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tables/table22.xml" ContentType="application/vnd.openxmlformats-officedocument.spreadsheetml.table+xml"/>
  <Override PartName="/xl/drawings/drawing15.xml" ContentType="application/vnd.openxmlformats-officedocument.drawing+xml"/>
  <Override PartName="/xl/drawings/drawing1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defaultThemeVersion="202300"/>
  <mc:AlternateContent xmlns:mc="http://schemas.openxmlformats.org/markup-compatibility/2006">
    <mc:Choice Requires="x15">
      <x15ac:absPath xmlns:x15ac="http://schemas.microsoft.com/office/spreadsheetml/2010/11/ac" url="C:\Users\DELL\Downloads\"/>
    </mc:Choice>
  </mc:AlternateContent>
  <xr:revisionPtr revIDLastSave="0" documentId="8_{B34D8B8C-8FD8-4149-BAE9-7E9750B9846C}" xr6:coauthVersionLast="47" xr6:coauthVersionMax="47" xr10:uidLastSave="{00000000-0000-0000-0000-000000000000}"/>
  <bookViews>
    <workbookView showSheetTabs="0" xWindow="-120" yWindow="-120" windowWidth="20730" windowHeight="11760" autoFilterDateGrouping="0" xr2:uid="{856E6664-A545-48B8-9EAD-7AA6A510FDCC}"/>
  </bookViews>
  <sheets>
    <sheet name="Awal" sheetId="12" r:id="rId1"/>
    <sheet name="GAMUM" sheetId="18" r:id="rId2"/>
    <sheet name="Kode Akun" sheetId="15" r:id="rId3"/>
    <sheet name="Penyusutan" sheetId="22" r:id="rId4"/>
    <sheet name="Aging Schedule" sheetId="27" r:id="rId5"/>
    <sheet name="BTK" sheetId="23" r:id="rId6"/>
    <sheet name="Utang" sheetId="32" r:id="rId7"/>
    <sheet name="Measurements" sheetId="19" r:id="rId8"/>
    <sheet name="Transaksi" sheetId="10" r:id="rId9"/>
    <sheet name="Transaksi (2)" sheetId="34" r:id="rId10"/>
    <sheet name="General Legder" sheetId="17" r:id="rId11"/>
    <sheet name="Neraca Saldo" sheetId="25" r:id="rId12"/>
    <sheet name="Neraca Saldo 2026" sheetId="35" r:id="rId13"/>
    <sheet name="LR" sheetId="24" r:id="rId14"/>
    <sheet name="LPM" sheetId="30" r:id="rId15"/>
    <sheet name="LPK" sheetId="20" r:id="rId16"/>
    <sheet name="Jurnal Umum" sheetId="16" state="hidden" r:id="rId17"/>
    <sheet name="Arus Kas" sheetId="29" r:id="rId18"/>
    <sheet name="Report II" sheetId="21" r:id="rId19"/>
    <sheet name="Persiapan UAS" sheetId="36" state="hidden" r:id="rId20"/>
  </sheets>
  <definedNames>
    <definedName name="_xlnm.Print_Area" localSheetId="4">'Aging Schedule'!$A$1:$J$46</definedName>
    <definedName name="_xlnm.Print_Area" localSheetId="17">'Arus Kas'!$A$1:$G$59</definedName>
    <definedName name="_xlnm.Print_Area" localSheetId="5">BTK!$A$1:$I$41</definedName>
    <definedName name="_xlnm.Print_Area" localSheetId="15">LPK!$A$1:$I$63</definedName>
    <definedName name="_xlnm.Print_Area" localSheetId="14">LPM!$A$1:$I$33</definedName>
    <definedName name="_xlnm.Print_Area" localSheetId="13">LR!$A$1:$G$44</definedName>
    <definedName name="_xlnm.Print_Area" localSheetId="7">Measurements!$A$1:$AG$61</definedName>
    <definedName name="_xlnm.Print_Area" localSheetId="11">'Neraca Saldo'!$A$1:$E$57</definedName>
    <definedName name="_xlnm.Print_Area" localSheetId="12">'Neraca Saldo 2026'!$A$1:$E$62</definedName>
    <definedName name="_xlnm.Print_Area" localSheetId="3">Penyusutan!$A$1:$I$56</definedName>
    <definedName name="_xlnm.Print_Area" localSheetId="9">'Transaksi (2)'!$A$1:$G$192</definedName>
    <definedName name="_xlnm.Print_Area" localSheetId="6">Utang!$A$1:$Q$127</definedName>
    <definedName name="Slicer_Keterangan">#N/A</definedName>
    <definedName name="Slicer_Keterangan1">#N/A</definedName>
    <definedName name="Slicer_Keterangan2">#N/A</definedName>
    <definedName name="Slicer_Tanggal">#N/A</definedName>
    <definedName name="Slicer_Tanggal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1"/>
        <x14:slicerCache r:id="rId22"/>
        <x14:slicerCache r:id="rId23"/>
        <x14:slicerCache r:id="rId24"/>
        <x14:slicerCache r:id="rId2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2" i="22" l="1"/>
  <c r="L41" i="22"/>
  <c r="C39" i="27"/>
  <c r="C38" i="27"/>
  <c r="C37" i="27"/>
  <c r="C36" i="27"/>
  <c r="C35" i="27"/>
  <c r="C34" i="27"/>
  <c r="C33" i="27"/>
  <c r="N184" i="19"/>
  <c r="N183" i="19"/>
  <c r="N182" i="19"/>
  <c r="N181" i="19"/>
  <c r="N180" i="19"/>
  <c r="N179" i="19"/>
  <c r="N178" i="19"/>
  <c r="F104" i="36"/>
  <c r="D104" i="36"/>
  <c r="D102" i="36"/>
  <c r="C33" i="29"/>
  <c r="C46" i="29" s="1"/>
  <c r="C26" i="29"/>
  <c r="C45" i="29" s="1"/>
  <c r="E26" i="29"/>
  <c r="E45" i="29" s="1"/>
  <c r="E43" i="29"/>
  <c r="E47" i="29" s="1"/>
  <c r="B51" i="29"/>
  <c r="E51" i="29"/>
  <c r="E52" i="29" s="1"/>
  <c r="C43" i="29"/>
  <c r="C47" i="29" s="1"/>
  <c r="E33" i="29"/>
  <c r="E46" i="29" s="1"/>
  <c r="D87" i="36"/>
  <c r="C87" i="36"/>
  <c r="P15" i="17"/>
  <c r="G29" i="20"/>
  <c r="G28" i="20"/>
  <c r="G27" i="20"/>
  <c r="G54" i="20"/>
  <c r="G41" i="20"/>
  <c r="G42" i="20"/>
  <c r="G43" i="20"/>
  <c r="G44" i="20"/>
  <c r="G45" i="20"/>
  <c r="C54" i="20"/>
  <c r="C53" i="20"/>
  <c r="C49" i="20"/>
  <c r="E24" i="30"/>
  <c r="G23" i="30"/>
  <c r="G22" i="30"/>
  <c r="G21" i="30"/>
  <c r="B35" i="24"/>
  <c r="B32" i="24"/>
  <c r="F32" i="24" s="1"/>
  <c r="B22" i="24"/>
  <c r="B23" i="24"/>
  <c r="B24" i="24"/>
  <c r="B25" i="24"/>
  <c r="B26" i="24"/>
  <c r="B27" i="24"/>
  <c r="B28" i="24"/>
  <c r="F28" i="24" s="1"/>
  <c r="B29" i="24"/>
  <c r="F29" i="24" s="1"/>
  <c r="B30" i="24"/>
  <c r="F30" i="24" s="1"/>
  <c r="B31" i="24"/>
  <c r="F31" i="24" s="1"/>
  <c r="B21" i="24"/>
  <c r="B14" i="24"/>
  <c r="B15" i="24"/>
  <c r="B16" i="24"/>
  <c r="B17" i="24"/>
  <c r="F17" i="24" s="1"/>
  <c r="B13" i="24"/>
  <c r="B63" i="15"/>
  <c r="B64" i="15"/>
  <c r="B65" i="15"/>
  <c r="B66" i="15"/>
  <c r="B67" i="15" s="1"/>
  <c r="B68" i="15" s="1"/>
  <c r="B69" i="15" s="1"/>
  <c r="B70" i="15" s="1"/>
  <c r="B71" i="15" s="1"/>
  <c r="B72" i="15" s="1"/>
  <c r="B73" i="15" s="1"/>
  <c r="B74" i="15" s="1"/>
  <c r="B75" i="15" s="1"/>
  <c r="B76" i="15" s="1"/>
  <c r="B77" i="15" s="1"/>
  <c r="B78" i="15" s="1"/>
  <c r="B79" i="15" s="1"/>
  <c r="B80" i="15" s="1"/>
  <c r="B81" i="15" s="1"/>
  <c r="B82" i="15" s="1"/>
  <c r="B83" i="15" s="1"/>
  <c r="B84" i="15" s="1"/>
  <c r="B85" i="15" s="1"/>
  <c r="B86" i="15" s="1"/>
  <c r="B87" i="15" s="1"/>
  <c r="B88" i="15" s="1"/>
  <c r="B89" i="15" s="1"/>
  <c r="B90" i="15" s="1"/>
  <c r="B91" i="15" s="1"/>
  <c r="B92" i="15" s="1"/>
  <c r="B93" i="15" s="1"/>
  <c r="B94" i="15" s="1"/>
  <c r="B95" i="15" s="1"/>
  <c r="B96" i="15" s="1"/>
  <c r="B97" i="15" s="1"/>
  <c r="B98" i="15" s="1"/>
  <c r="B99" i="15" s="1"/>
  <c r="B100" i="15" s="1"/>
  <c r="B101" i="15" s="1"/>
  <c r="B102" i="15" s="1"/>
  <c r="B103" i="15" s="1"/>
  <c r="B104" i="15" s="1"/>
  <c r="B105" i="15" s="1"/>
  <c r="B106" i="15" s="1"/>
  <c r="B107" i="15" s="1"/>
  <c r="B108" i="15" s="1"/>
  <c r="E185" i="34"/>
  <c r="E188" i="34"/>
  <c r="E187" i="34" s="1"/>
  <c r="D190" i="34"/>
  <c r="D188" i="34"/>
  <c r="D189" i="34"/>
  <c r="D187" i="34"/>
  <c r="F186" i="34"/>
  <c r="C8" i="35" a="1"/>
  <c r="D186" i="34"/>
  <c r="D185" i="34"/>
  <c r="D184" i="34"/>
  <c r="D183" i="34"/>
  <c r="D182" i="34"/>
  <c r="D181" i="34"/>
  <c r="D180" i="34"/>
  <c r="D179" i="34"/>
  <c r="D178" i="34"/>
  <c r="D177" i="34"/>
  <c r="D176" i="34"/>
  <c r="D175" i="34"/>
  <c r="D174" i="34"/>
  <c r="D173" i="34"/>
  <c r="D172" i="34"/>
  <c r="D171" i="34"/>
  <c r="D170" i="34"/>
  <c r="D169" i="34"/>
  <c r="D168" i="34"/>
  <c r="D167" i="34"/>
  <c r="D166" i="34"/>
  <c r="D165" i="34"/>
  <c r="D164" i="34"/>
  <c r="D163" i="34"/>
  <c r="D162" i="34"/>
  <c r="D161" i="34"/>
  <c r="D160" i="34"/>
  <c r="D159" i="34"/>
  <c r="D158" i="34"/>
  <c r="D157" i="34"/>
  <c r="D156" i="34"/>
  <c r="D155" i="34"/>
  <c r="D154" i="34"/>
  <c r="D153" i="34"/>
  <c r="D152" i="34"/>
  <c r="D151" i="34"/>
  <c r="D150" i="34"/>
  <c r="D149" i="34"/>
  <c r="D148" i="34"/>
  <c r="D147" i="34"/>
  <c r="D146" i="34"/>
  <c r="D145" i="34"/>
  <c r="D144" i="34"/>
  <c r="D143" i="34"/>
  <c r="D142" i="34"/>
  <c r="D141" i="34"/>
  <c r="D140" i="34"/>
  <c r="D139" i="34"/>
  <c r="D138" i="34"/>
  <c r="D137" i="34"/>
  <c r="D136" i="34"/>
  <c r="D135" i="34"/>
  <c r="D134" i="34"/>
  <c r="D133" i="34"/>
  <c r="D132" i="34"/>
  <c r="D131" i="34"/>
  <c r="D130" i="34"/>
  <c r="D129" i="34"/>
  <c r="D128" i="34"/>
  <c r="D127" i="34"/>
  <c r="D126" i="34"/>
  <c r="D125" i="34"/>
  <c r="D124" i="34"/>
  <c r="D123" i="34"/>
  <c r="D122" i="34"/>
  <c r="D121" i="34"/>
  <c r="D120" i="34"/>
  <c r="D119" i="34"/>
  <c r="D118" i="34"/>
  <c r="D117" i="34"/>
  <c r="D116" i="34"/>
  <c r="D115" i="34"/>
  <c r="D114" i="34"/>
  <c r="D113" i="34"/>
  <c r="D112" i="34"/>
  <c r="D111" i="34"/>
  <c r="D110" i="34"/>
  <c r="D109" i="34"/>
  <c r="D108" i="34"/>
  <c r="D107" i="34"/>
  <c r="D106" i="34"/>
  <c r="D105" i="34"/>
  <c r="D104" i="34"/>
  <c r="D103" i="34"/>
  <c r="D102" i="34"/>
  <c r="D101" i="34"/>
  <c r="D100" i="34"/>
  <c r="D99" i="34"/>
  <c r="D98" i="34"/>
  <c r="D97" i="34"/>
  <c r="D96" i="34"/>
  <c r="D95" i="34"/>
  <c r="D94" i="34"/>
  <c r="D93" i="34"/>
  <c r="D92" i="34"/>
  <c r="D91" i="34"/>
  <c r="D90" i="34"/>
  <c r="D89" i="34"/>
  <c r="D88" i="34"/>
  <c r="D87" i="34"/>
  <c r="D86" i="34"/>
  <c r="D85" i="34"/>
  <c r="D84" i="34"/>
  <c r="D83" i="34"/>
  <c r="D82" i="34"/>
  <c r="D81" i="34"/>
  <c r="D80" i="34"/>
  <c r="D79" i="34"/>
  <c r="D78" i="34"/>
  <c r="D77" i="34"/>
  <c r="D76" i="34"/>
  <c r="D75" i="34"/>
  <c r="D74" i="34"/>
  <c r="D73" i="34"/>
  <c r="D72" i="34"/>
  <c r="D71" i="34"/>
  <c r="D70" i="34"/>
  <c r="D69" i="34"/>
  <c r="D68" i="34"/>
  <c r="D67" i="34"/>
  <c r="D66" i="34"/>
  <c r="D65" i="34"/>
  <c r="D64" i="34"/>
  <c r="D63" i="34"/>
  <c r="D62" i="34"/>
  <c r="D61" i="34"/>
  <c r="D60" i="34"/>
  <c r="D59" i="34"/>
  <c r="D58" i="34"/>
  <c r="D57" i="34"/>
  <c r="D56" i="34"/>
  <c r="D55" i="34"/>
  <c r="D54" i="34"/>
  <c r="D53" i="34"/>
  <c r="D52" i="34"/>
  <c r="D51" i="34"/>
  <c r="D50" i="34"/>
  <c r="D49" i="34"/>
  <c r="D48" i="34"/>
  <c r="D47" i="34"/>
  <c r="D46" i="34"/>
  <c r="D45" i="34"/>
  <c r="D44" i="34"/>
  <c r="D43" i="34"/>
  <c r="D42" i="34"/>
  <c r="D41" i="34"/>
  <c r="D40" i="34"/>
  <c r="D39" i="34"/>
  <c r="D38" i="34"/>
  <c r="D37" i="34"/>
  <c r="D36" i="34"/>
  <c r="D35" i="34"/>
  <c r="D34" i="34"/>
  <c r="D33" i="34"/>
  <c r="D32" i="34"/>
  <c r="D31" i="34"/>
  <c r="D30" i="34"/>
  <c r="D29" i="34"/>
  <c r="D28" i="34"/>
  <c r="D27" i="34"/>
  <c r="D26" i="34"/>
  <c r="D25" i="34"/>
  <c r="D24" i="34"/>
  <c r="D23" i="34"/>
  <c r="D22" i="34"/>
  <c r="D21" i="34"/>
  <c r="D20" i="34"/>
  <c r="D19" i="34"/>
  <c r="D18" i="34"/>
  <c r="D17" i="34"/>
  <c r="D16" i="34"/>
  <c r="D15" i="34"/>
  <c r="D14" i="34"/>
  <c r="D13" i="34"/>
  <c r="D12" i="34"/>
  <c r="D11" i="34"/>
  <c r="D10" i="34"/>
  <c r="D9" i="34"/>
  <c r="D8" i="34"/>
  <c r="F184" i="34"/>
  <c r="E183" i="34" s="1"/>
  <c r="F182" i="34"/>
  <c r="F181" i="34"/>
  <c r="E180" i="34"/>
  <c r="E178" i="34"/>
  <c r="F179" i="34" s="1"/>
  <c r="E159" i="34"/>
  <c r="E168" i="34" s="1"/>
  <c r="F169" i="34" s="1"/>
  <c r="E176" i="34"/>
  <c r="F177" i="34" s="1"/>
  <c r="E173" i="34"/>
  <c r="F175" i="34"/>
  <c r="F174" i="34" s="1"/>
  <c r="E172" i="34"/>
  <c r="F165" i="34"/>
  <c r="E164" i="34" s="1"/>
  <c r="E162" i="34"/>
  <c r="F163" i="34" s="1"/>
  <c r="F161" i="34"/>
  <c r="F160" i="34"/>
  <c r="E149" i="34"/>
  <c r="E150" i="34" s="1"/>
  <c r="W50" i="19"/>
  <c r="AP154" i="19"/>
  <c r="AO154" i="19"/>
  <c r="AN154" i="19"/>
  <c r="AN155" i="19" s="1" a="1"/>
  <c r="AN155" i="19" s="1"/>
  <c r="AM154" i="19"/>
  <c r="AM155" i="19" s="1" a="1"/>
  <c r="AM155" i="19" s="1"/>
  <c r="AM156" i="19" s="1"/>
  <c r="AL154" i="19"/>
  <c r="AK154" i="19"/>
  <c r="AJ154" i="19"/>
  <c r="AP151" i="19"/>
  <c r="AO151" i="19"/>
  <c r="AN151" i="19"/>
  <c r="AM151" i="19"/>
  <c r="AM152" i="19" s="1" a="1"/>
  <c r="AM152" i="19" s="1"/>
  <c r="AL151" i="19"/>
  <c r="AK151" i="19"/>
  <c r="AJ151" i="19"/>
  <c r="AP148" i="19"/>
  <c r="AO148" i="19"/>
  <c r="AN148" i="19"/>
  <c r="AN149" i="19" s="1" a="1"/>
  <c r="AN149" i="19" s="1"/>
  <c r="AN150" i="19" s="1"/>
  <c r="AM148" i="19"/>
  <c r="AM149" i="19" s="1" a="1"/>
  <c r="AM149" i="19" s="1"/>
  <c r="AM150" i="19" s="1"/>
  <c r="AL148" i="19"/>
  <c r="AK148" i="19"/>
  <c r="AJ148" i="19"/>
  <c r="AP145" i="19"/>
  <c r="AO145" i="19"/>
  <c r="AN145" i="19"/>
  <c r="AN146" i="19" s="1" a="1"/>
  <c r="AN146" i="19" s="1"/>
  <c r="AN147" i="19" s="1"/>
  <c r="AM145" i="19"/>
  <c r="AM146" i="19" s="1" a="1"/>
  <c r="AM146" i="19" s="1"/>
  <c r="AM147" i="19" s="1"/>
  <c r="AL145" i="19"/>
  <c r="AK145" i="19"/>
  <c r="AJ145" i="19"/>
  <c r="AP142" i="19"/>
  <c r="AO142" i="19"/>
  <c r="AN142" i="19"/>
  <c r="AM142" i="19"/>
  <c r="AM143" i="19" s="1" a="1"/>
  <c r="AM143" i="19" s="1"/>
  <c r="AM144" i="19" s="1"/>
  <c r="AL142" i="19"/>
  <c r="AK142" i="19"/>
  <c r="AJ142" i="19"/>
  <c r="AP139" i="19"/>
  <c r="AO139" i="19"/>
  <c r="AN139" i="19"/>
  <c r="AM139" i="19"/>
  <c r="AL139" i="19"/>
  <c r="AK139" i="19"/>
  <c r="AJ139" i="19"/>
  <c r="AK136" i="19"/>
  <c r="AL136" i="19"/>
  <c r="AM136" i="19"/>
  <c r="AN136" i="19"/>
  <c r="AN137" i="19" s="1" a="1"/>
  <c r="AN137" i="19" s="1"/>
  <c r="AN138" i="19" s="1"/>
  <c r="AO136" i="19"/>
  <c r="AO137" i="19" s="1" a="1"/>
  <c r="AO137" i="19" s="1"/>
  <c r="AO138" i="19" s="1"/>
  <c r="AP136" i="19"/>
  <c r="AJ136" i="19"/>
  <c r="AI154" i="19"/>
  <c r="AI151" i="19"/>
  <c r="AI148" i="19"/>
  <c r="AI145" i="19"/>
  <c r="AI142" i="19"/>
  <c r="AI139" i="19"/>
  <c r="AI136" i="19"/>
  <c r="AJ155" i="19" a="1"/>
  <c r="AJ155" i="19" s="1"/>
  <c r="AO152" i="19" a="1"/>
  <c r="AO152" i="19" s="1"/>
  <c r="AO153" i="19" s="1"/>
  <c r="AL152" i="19" a="1"/>
  <c r="AL152" i="19" s="1"/>
  <c r="AK152" i="19" a="1"/>
  <c r="AK152" i="19" s="1"/>
  <c r="AK153" i="19" s="1"/>
  <c r="AO149" i="19" a="1"/>
  <c r="AO149" i="19" s="1"/>
  <c r="AO150" i="19" s="1"/>
  <c r="AK149" i="19" a="1"/>
  <c r="AK149" i="19" s="1"/>
  <c r="AK150" i="19" s="1"/>
  <c r="AJ149" i="19" a="1"/>
  <c r="AJ149" i="19" s="1"/>
  <c r="AP146" i="19" a="1"/>
  <c r="AP146" i="19" s="1"/>
  <c r="AP147" i="19" s="1"/>
  <c r="AL146" i="19" a="1"/>
  <c r="AL146" i="19" s="1"/>
  <c r="AL147" i="19" s="1"/>
  <c r="AJ146" i="19" a="1"/>
  <c r="AJ146" i="19" s="1"/>
  <c r="AP143" i="19" a="1"/>
  <c r="AP143" i="19" s="1"/>
  <c r="AP144" i="19" s="1"/>
  <c r="AO143" i="19" a="1"/>
  <c r="AO143" i="19" s="1"/>
  <c r="AO144" i="19" s="1"/>
  <c r="AL143" i="19" a="1"/>
  <c r="AL143" i="19" s="1"/>
  <c r="AL144" i="19" s="1"/>
  <c r="AK143" i="19" a="1"/>
  <c r="AK143" i="19" s="1"/>
  <c r="AK144" i="19" s="1"/>
  <c r="AP140" i="19" a="1"/>
  <c r="AP140" i="19" s="1"/>
  <c r="AP141" i="19" s="1"/>
  <c r="AO140" i="19" a="1"/>
  <c r="AO140" i="19" s="1"/>
  <c r="AO141" i="19" s="1"/>
  <c r="AN140" i="19" a="1"/>
  <c r="AN140" i="19" s="1"/>
  <c r="AN141" i="19" s="1"/>
  <c r="AL140" i="19" a="1"/>
  <c r="AL140" i="19" s="1"/>
  <c r="AL141" i="19" s="1"/>
  <c r="AK140" i="19" a="1"/>
  <c r="AK140" i="19" s="1"/>
  <c r="AK141" i="19" s="1"/>
  <c r="AJ140" i="19" a="1"/>
  <c r="AJ140" i="19" s="1"/>
  <c r="AP137" i="19" a="1"/>
  <c r="AP137" i="19" s="1"/>
  <c r="AP138" i="19" s="1"/>
  <c r="AM137" i="19" a="1"/>
  <c r="AM137" i="19" s="1"/>
  <c r="AM138" i="19" s="1"/>
  <c r="AL137" i="19" a="1"/>
  <c r="AL137" i="19" s="1"/>
  <c r="AL138" i="19" s="1"/>
  <c r="AK137" i="19" a="1"/>
  <c r="AK137" i="19" s="1"/>
  <c r="AK138" i="19" s="1"/>
  <c r="AJ137" i="19" a="1"/>
  <c r="AJ137" i="19" s="1"/>
  <c r="AQ136" i="19"/>
  <c r="F167" i="34"/>
  <c r="E166" i="34"/>
  <c r="F171" i="34" s="1"/>
  <c r="L48" i="19"/>
  <c r="L49" i="19"/>
  <c r="L40" i="19"/>
  <c r="C49" i="19"/>
  <c r="C48" i="19"/>
  <c r="L47" i="19"/>
  <c r="C47" i="19"/>
  <c r="L46" i="19"/>
  <c r="L45" i="19"/>
  <c r="C46" i="19"/>
  <c r="L43" i="22" l="1"/>
  <c r="L44" i="22" s="1"/>
  <c r="L45" i="22" s="1"/>
  <c r="L46" i="22" s="1"/>
  <c r="L47" i="22" s="1"/>
  <c r="L48" i="22" s="1"/>
  <c r="L49" i="22" s="1"/>
  <c r="C48" i="29"/>
  <c r="C51" i="29" s="1"/>
  <c r="C52" i="29" s="1"/>
  <c r="C40" i="27"/>
  <c r="C15" i="20"/>
  <c r="C19" i="20"/>
  <c r="C27" i="20"/>
  <c r="C42" i="20"/>
  <c r="C23" i="20"/>
  <c r="C38" i="20"/>
  <c r="C8" i="35"/>
  <c r="C13" i="20" s="1"/>
  <c r="C35" i="20"/>
  <c r="C39" i="20"/>
  <c r="C43" i="20"/>
  <c r="C28" i="20"/>
  <c r="C16" i="20"/>
  <c r="C20" i="20"/>
  <c r="C24" i="20"/>
  <c r="C36" i="20"/>
  <c r="C40" i="20"/>
  <c r="C44" i="20"/>
  <c r="C29" i="20"/>
  <c r="C17" i="20"/>
  <c r="C21" i="20"/>
  <c r="C25" i="20"/>
  <c r="C26" i="20"/>
  <c r="C22" i="20"/>
  <c r="C18" i="20"/>
  <c r="C14" i="20"/>
  <c r="C34" i="20"/>
  <c r="C41" i="20"/>
  <c r="C37" i="20"/>
  <c r="C45" i="20"/>
  <c r="AQ151" i="19"/>
  <c r="AL153" i="19"/>
  <c r="AJ150" i="19"/>
  <c r="AQ137" i="19"/>
  <c r="AJ138" i="19"/>
  <c r="AQ138" i="19" s="1"/>
  <c r="AJ141" i="19"/>
  <c r="AJ147" i="19"/>
  <c r="AK146" i="19" a="1"/>
  <c r="AK146" i="19" s="1"/>
  <c r="AO146" i="19" a="1"/>
  <c r="AO146" i="19" s="1"/>
  <c r="AO147" i="19" s="1"/>
  <c r="AQ148" i="19"/>
  <c r="AJ152" i="19" a="1"/>
  <c r="AJ152" i="19" s="1"/>
  <c r="AJ153" i="19" s="1"/>
  <c r="AN152" i="19" a="1"/>
  <c r="AN152" i="19" s="1"/>
  <c r="AN153" i="19" s="1"/>
  <c r="AP152" i="19" a="1"/>
  <c r="AP152" i="19" s="1"/>
  <c r="AP153" i="19" s="1"/>
  <c r="AK155" i="19" a="1"/>
  <c r="AK155" i="19" s="1"/>
  <c r="AK156" i="19" s="1"/>
  <c r="AO155" i="19" a="1"/>
  <c r="AO155" i="19" s="1"/>
  <c r="AO156" i="19" s="1"/>
  <c r="AJ156" i="19"/>
  <c r="AN156" i="19"/>
  <c r="AQ139" i="19"/>
  <c r="AQ145" i="19"/>
  <c r="AL149" i="19" a="1"/>
  <c r="AL149" i="19" s="1"/>
  <c r="AP149" i="19" a="1"/>
  <c r="AP149" i="19" s="1"/>
  <c r="AP150" i="19" s="1"/>
  <c r="AM153" i="19"/>
  <c r="AQ154" i="19"/>
  <c r="AJ143" i="19" a="1"/>
  <c r="AJ143" i="19" s="1"/>
  <c r="AN143" i="19" a="1"/>
  <c r="AN143" i="19" s="1"/>
  <c r="AN144" i="19" s="1"/>
  <c r="AM140" i="19" a="1"/>
  <c r="AM140" i="19" s="1"/>
  <c r="AM141" i="19" s="1"/>
  <c r="AQ142" i="19"/>
  <c r="AL155" i="19" a="1"/>
  <c r="AL155" i="19" s="1"/>
  <c r="AL156" i="19" s="1"/>
  <c r="AP155" i="19" a="1"/>
  <c r="AP155" i="19" s="1"/>
  <c r="AP156" i="19" s="1"/>
  <c r="F151" i="34"/>
  <c r="E170" i="34"/>
  <c r="K45" i="19" a="1"/>
  <c r="K45" i="19" s="1"/>
  <c r="K46" i="19" a="1"/>
  <c r="K46" i="19" s="1"/>
  <c r="K48" i="19" a="1"/>
  <c r="K48" i="19" s="1"/>
  <c r="K47" i="19" a="1"/>
  <c r="K47" i="19" s="1"/>
  <c r="K49" i="19" a="1"/>
  <c r="K49" i="19" s="1"/>
  <c r="AQ149" i="19" l="1"/>
  <c r="AQ153" i="19"/>
  <c r="AR153" i="19" s="1"/>
  <c r="AS153" i="19" s="1"/>
  <c r="AU153" i="19" s="1"/>
  <c r="AQ140" i="19"/>
  <c r="AQ146" i="19"/>
  <c r="AQ143" i="19"/>
  <c r="AQ156" i="19"/>
  <c r="AK147" i="19"/>
  <c r="AR138" i="19"/>
  <c r="AS138" i="19" s="1"/>
  <c r="AU138" i="19" s="1"/>
  <c r="AJ144" i="19"/>
  <c r="AQ144" i="19" s="1"/>
  <c r="AL150" i="19"/>
  <c r="AQ150" i="19"/>
  <c r="AQ147" i="19"/>
  <c r="AQ141" i="19"/>
  <c r="AR141" i="19" l="1"/>
  <c r="AS141" i="19" s="1"/>
  <c r="AU141" i="19" s="1"/>
  <c r="AR147" i="19"/>
  <c r="AS147" i="19" s="1"/>
  <c r="AU147" i="19" s="1"/>
  <c r="AR156" i="19"/>
  <c r="AS156" i="19" s="1"/>
  <c r="AU156" i="19" s="1"/>
  <c r="AR150" i="19"/>
  <c r="AS150" i="19" s="1"/>
  <c r="AU150" i="19" s="1"/>
  <c r="AR144" i="19"/>
  <c r="AS144" i="19" s="1"/>
  <c r="AU144" i="19" s="1"/>
  <c r="C45" i="19" l="1"/>
  <c r="B49" i="19"/>
  <c r="B48" i="19"/>
  <c r="B47" i="19"/>
  <c r="B46" i="19"/>
  <c r="B45" i="19"/>
  <c r="E171" i="17"/>
  <c r="D171" i="17"/>
  <c r="E172" i="17" l="1"/>
  <c r="D172" i="17"/>
  <c r="G16" i="17" l="1"/>
  <c r="H16" i="17"/>
  <c r="I16" i="17"/>
  <c r="D157" i="10"/>
  <c r="D140" i="10"/>
  <c r="D141" i="10"/>
  <c r="D156" i="10"/>
  <c r="F149" i="10"/>
  <c r="E148" i="10" s="1"/>
  <c r="D148" i="10"/>
  <c r="D149" i="10"/>
  <c r="F147" i="10"/>
  <c r="E146" i="10" s="1"/>
  <c r="D146" i="10"/>
  <c r="D147" i="10"/>
  <c r="B100" i="35" a="1"/>
  <c r="B100" i="35" s="1"/>
  <c r="B61" i="35" a="1"/>
  <c r="B61" i="35" s="1"/>
  <c r="B62" i="35" a="1"/>
  <c r="B62" i="35" s="1"/>
  <c r="B63" i="35" a="1"/>
  <c r="B63" i="35" s="1"/>
  <c r="B64" i="35" a="1"/>
  <c r="B64" i="35" s="1"/>
  <c r="B65" i="35" a="1"/>
  <c r="B65" i="35" s="1"/>
  <c r="B66" i="35" a="1"/>
  <c r="B66" i="35" s="1"/>
  <c r="B67" i="35" a="1"/>
  <c r="B67" i="35" s="1"/>
  <c r="B68" i="35" a="1"/>
  <c r="B68" i="35" s="1"/>
  <c r="B69" i="35" a="1"/>
  <c r="B69" i="35" s="1"/>
  <c r="B70" i="35" a="1"/>
  <c r="B70" i="35" s="1"/>
  <c r="B71" i="35" a="1"/>
  <c r="B71" i="35" s="1"/>
  <c r="B72" i="35" a="1"/>
  <c r="B72" i="35" s="1"/>
  <c r="B73" i="35" a="1"/>
  <c r="B73" i="35" s="1"/>
  <c r="B74" i="35" a="1"/>
  <c r="B74" i="35" s="1"/>
  <c r="B75" i="35" a="1"/>
  <c r="B75" i="35" s="1"/>
  <c r="B76" i="35" a="1"/>
  <c r="B76" i="35" s="1"/>
  <c r="B77" i="35" a="1"/>
  <c r="B77" i="35" s="1"/>
  <c r="B78" i="35" a="1"/>
  <c r="B78" i="35" s="1"/>
  <c r="B79" i="35" a="1"/>
  <c r="B79" i="35" s="1"/>
  <c r="B80" i="35" a="1"/>
  <c r="B80" i="35" s="1"/>
  <c r="B81" i="35" a="1"/>
  <c r="B81" i="35" s="1"/>
  <c r="B82" i="35" a="1"/>
  <c r="B82" i="35" s="1"/>
  <c r="B83" i="35" a="1"/>
  <c r="B83" i="35" s="1"/>
  <c r="B84" i="35" a="1"/>
  <c r="B84" i="35" s="1"/>
  <c r="B85" i="35" a="1"/>
  <c r="B85" i="35" s="1"/>
  <c r="B86" i="35" a="1"/>
  <c r="B86" i="35" s="1"/>
  <c r="B87" i="35" a="1"/>
  <c r="B87" i="35" s="1"/>
  <c r="B88" i="35" a="1"/>
  <c r="B88" i="35" s="1"/>
  <c r="B89" i="35" a="1"/>
  <c r="B89" i="35" s="1"/>
  <c r="B90" i="35" a="1"/>
  <c r="B90" i="35" s="1"/>
  <c r="B91" i="35" a="1"/>
  <c r="B91" i="35" s="1"/>
  <c r="B92" i="35" a="1"/>
  <c r="B92" i="35" s="1"/>
  <c r="B93" i="35" a="1"/>
  <c r="B93" i="35" s="1"/>
  <c r="B94" i="35" a="1"/>
  <c r="B94" i="35" s="1"/>
  <c r="B95" i="35" a="1"/>
  <c r="B95" i="35" s="1"/>
  <c r="B96" i="35" a="1"/>
  <c r="B96" i="35" s="1"/>
  <c r="B97" i="35" a="1"/>
  <c r="B97" i="35" s="1"/>
  <c r="B98" i="35" a="1"/>
  <c r="B98" i="35" s="1"/>
  <c r="B99" i="35" a="1"/>
  <c r="B99" i="35" s="1"/>
  <c r="B57" i="25" a="1"/>
  <c r="B57" i="25" s="1"/>
  <c r="B58" i="25" a="1"/>
  <c r="B58" i="25" s="1"/>
  <c r="B59" i="25" a="1"/>
  <c r="B59" i="25" s="1"/>
  <c r="B60" i="25" a="1"/>
  <c r="B60" i="25" s="1"/>
  <c r="B61" i="25" a="1"/>
  <c r="B61" i="25" s="1"/>
  <c r="B62" i="25" a="1"/>
  <c r="B62" i="25" s="1"/>
  <c r="B63" i="25" a="1"/>
  <c r="B63" i="25" s="1"/>
  <c r="B64" i="25" a="1"/>
  <c r="B64" i="25" s="1"/>
  <c r="B65" i="25" a="1"/>
  <c r="B65" i="25" s="1"/>
  <c r="B66" i="25" a="1"/>
  <c r="B66" i="25" s="1"/>
  <c r="B67" i="25" a="1"/>
  <c r="B67" i="25" s="1"/>
  <c r="B68" i="25" a="1"/>
  <c r="B68" i="25" s="1"/>
  <c r="E97" i="34"/>
  <c r="F99" i="34" s="1"/>
  <c r="E107" i="34"/>
  <c r="F108" i="34" s="1"/>
  <c r="F156" i="10" l="1"/>
  <c r="D28" i="25" s="1"/>
  <c r="F139" i="34"/>
  <c r="E138" i="34"/>
  <c r="F137" i="34"/>
  <c r="F136" i="34"/>
  <c r="E135" i="34"/>
  <c r="H11" i="32"/>
  <c r="H12" i="32"/>
  <c r="D23" i="32"/>
  <c r="F87" i="34" s="1"/>
  <c r="D24" i="32"/>
  <c r="F142" i="34" s="1"/>
  <c r="D25" i="32"/>
  <c r="D26" i="32"/>
  <c r="D27" i="32"/>
  <c r="D28" i="32"/>
  <c r="D29" i="32"/>
  <c r="D30" i="32"/>
  <c r="D31" i="32"/>
  <c r="D32" i="32"/>
  <c r="D33" i="32"/>
  <c r="D34" i="32"/>
  <c r="D35" i="32"/>
  <c r="D36" i="32"/>
  <c r="D37" i="32"/>
  <c r="D38" i="32"/>
  <c r="D39" i="32"/>
  <c r="D40" i="32"/>
  <c r="D41" i="32"/>
  <c r="D42" i="32"/>
  <c r="D43" i="32"/>
  <c r="D44" i="32"/>
  <c r="D45" i="32"/>
  <c r="D46" i="32"/>
  <c r="D47" i="32"/>
  <c r="D48" i="32"/>
  <c r="D49" i="32"/>
  <c r="D50" i="32"/>
  <c r="D51" i="32"/>
  <c r="D52" i="32"/>
  <c r="D53" i="32"/>
  <c r="D54" i="32"/>
  <c r="D55" i="32"/>
  <c r="D56" i="32"/>
  <c r="D57" i="32"/>
  <c r="D58" i="32"/>
  <c r="D59" i="32"/>
  <c r="D60" i="32"/>
  <c r="D61" i="32"/>
  <c r="D62" i="32"/>
  <c r="D63" i="32"/>
  <c r="D64" i="32"/>
  <c r="D65" i="32"/>
  <c r="D66" i="32"/>
  <c r="D67" i="32"/>
  <c r="D68" i="32"/>
  <c r="D69" i="32"/>
  <c r="D22" i="32"/>
  <c r="H80" i="32"/>
  <c r="H79" i="32"/>
  <c r="D88" i="32"/>
  <c r="E88" i="34" s="1"/>
  <c r="D89" i="32"/>
  <c r="E143" i="34" s="1"/>
  <c r="D90" i="32"/>
  <c r="D91" i="32"/>
  <c r="D92" i="32"/>
  <c r="D93" i="32"/>
  <c r="D94" i="32"/>
  <c r="D95" i="32"/>
  <c r="D96" i="32"/>
  <c r="D97" i="32"/>
  <c r="D98" i="32"/>
  <c r="D99" i="32"/>
  <c r="D100" i="32"/>
  <c r="D101" i="32"/>
  <c r="D102" i="32"/>
  <c r="D103" i="32"/>
  <c r="D104" i="32"/>
  <c r="D105" i="32"/>
  <c r="D106" i="32"/>
  <c r="D107" i="32"/>
  <c r="D108" i="32"/>
  <c r="D109" i="32"/>
  <c r="D110" i="32"/>
  <c r="D111" i="32"/>
  <c r="D112" i="32"/>
  <c r="D113" i="32"/>
  <c r="D114" i="32"/>
  <c r="D115" i="32"/>
  <c r="D116" i="32"/>
  <c r="D117" i="32"/>
  <c r="D118" i="32"/>
  <c r="D119" i="32"/>
  <c r="D120" i="32"/>
  <c r="D121" i="32"/>
  <c r="D122" i="32"/>
  <c r="D87" i="32"/>
  <c r="A81" i="32"/>
  <c r="A80" i="32"/>
  <c r="E44" i="34"/>
  <c r="Z15" i="17"/>
  <c r="P6" i="25" l="1"/>
  <c r="F125" i="34"/>
  <c r="E112" i="34"/>
  <c r="F113" i="34" s="1"/>
  <c r="AK133" i="19"/>
  <c r="AL133" i="19"/>
  <c r="AM133" i="19"/>
  <c r="AM134" i="19" s="1" a="1"/>
  <c r="AM134" i="19" s="1"/>
  <c r="AM135" i="19" s="1"/>
  <c r="AN133" i="19"/>
  <c r="AO133" i="19"/>
  <c r="AP133" i="19"/>
  <c r="AJ133" i="19"/>
  <c r="AJ134" i="19" s="1" a="1"/>
  <c r="AJ134" i="19" s="1"/>
  <c r="AJ135" i="19" s="1"/>
  <c r="AK130" i="19"/>
  <c r="AK131" i="19" s="1" a="1"/>
  <c r="AK131" i="19" s="1"/>
  <c r="AK132" i="19" s="1"/>
  <c r="AL130" i="19"/>
  <c r="AM130" i="19"/>
  <c r="AN130" i="19"/>
  <c r="AO130" i="19"/>
  <c r="AP130" i="19"/>
  <c r="AJ130" i="19"/>
  <c r="AK127" i="19"/>
  <c r="AL127" i="19"/>
  <c r="AM127" i="19"/>
  <c r="AN127" i="19"/>
  <c r="AN128" i="19" s="1" a="1"/>
  <c r="AN128" i="19" s="1"/>
  <c r="AN129" i="19" s="1"/>
  <c r="AO127" i="19"/>
  <c r="AO128" i="19" s="1" a="1"/>
  <c r="AO128" i="19" s="1"/>
  <c r="AO129" i="19" s="1"/>
  <c r="AP127" i="19"/>
  <c r="AJ127" i="19"/>
  <c r="AK124" i="19"/>
  <c r="AL124" i="19"/>
  <c r="AL125" i="19" s="1" a="1"/>
  <c r="AL125" i="19" s="1"/>
  <c r="AL126" i="19" s="1"/>
  <c r="AM124" i="19"/>
  <c r="AM125" i="19" s="1" a="1"/>
  <c r="AM125" i="19" s="1"/>
  <c r="AM126" i="19" s="1"/>
  <c r="AN124" i="19"/>
  <c r="AO124" i="19"/>
  <c r="AP124" i="19"/>
  <c r="AP125" i="19" s="1" a="1"/>
  <c r="AP125" i="19" s="1"/>
  <c r="AP126" i="19" s="1"/>
  <c r="AJ124" i="19"/>
  <c r="AK121" i="19"/>
  <c r="AL121" i="19"/>
  <c r="AM121" i="19"/>
  <c r="AM122" i="19" s="1" a="1"/>
  <c r="AM122" i="19" s="1"/>
  <c r="AM123" i="19" s="1"/>
  <c r="AN121" i="19"/>
  <c r="AN122" i="19" s="1" a="1"/>
  <c r="AN122" i="19" s="1"/>
  <c r="AO121" i="19"/>
  <c r="AP121" i="19"/>
  <c r="AJ121" i="19"/>
  <c r="AJ122" i="19" s="1" a="1"/>
  <c r="AJ122" i="19" s="1"/>
  <c r="AP118" i="19"/>
  <c r="AO118" i="19"/>
  <c r="AO119" i="19" s="1" a="1"/>
  <c r="AO119" i="19" s="1"/>
  <c r="AO120" i="19" s="1"/>
  <c r="AN118" i="19"/>
  <c r="AN119" i="19" s="1" a="1"/>
  <c r="AN119" i="19" s="1"/>
  <c r="AM118" i="19"/>
  <c r="AL118" i="19"/>
  <c r="AL119" i="19" s="1" a="1"/>
  <c r="AL119" i="19" s="1"/>
  <c r="AL120" i="19" s="1"/>
  <c r="AK118" i="19"/>
  <c r="AK119" i="19" s="1" a="1"/>
  <c r="AK119" i="19" s="1"/>
  <c r="AK120" i="19" s="1"/>
  <c r="AJ118" i="19"/>
  <c r="AJ119" i="19" s="1" a="1"/>
  <c r="AJ119" i="19" s="1"/>
  <c r="AN116" i="19" a="1"/>
  <c r="AN116" i="19" s="1"/>
  <c r="AN117" i="19" s="1"/>
  <c r="AI133" i="19"/>
  <c r="AI130" i="19"/>
  <c r="AI127" i="19"/>
  <c r="AI124" i="19"/>
  <c r="AI121" i="19"/>
  <c r="AI118" i="19"/>
  <c r="AI115" i="19"/>
  <c r="AN134" i="19" a="1"/>
  <c r="AN134" i="19" s="1"/>
  <c r="AN135" i="19" s="1"/>
  <c r="AP131" i="19" a="1"/>
  <c r="AP131" i="19" s="1"/>
  <c r="AP132" i="19" s="1"/>
  <c r="AL131" i="19" a="1"/>
  <c r="AL131" i="19" s="1"/>
  <c r="AL132" i="19" s="1"/>
  <c r="AO131" i="19" a="1"/>
  <c r="AO131" i="19" s="1"/>
  <c r="AO132" i="19" s="1"/>
  <c r="AM128" i="19" a="1"/>
  <c r="AM128" i="19" s="1"/>
  <c r="AM129" i="19" s="1"/>
  <c r="AK128" i="19" a="1"/>
  <c r="AK128" i="19" s="1"/>
  <c r="AK129" i="19" s="1"/>
  <c r="AJ128" i="19" a="1"/>
  <c r="AJ128" i="19" s="1"/>
  <c r="AJ129" i="19" s="1"/>
  <c r="AN125" i="19" a="1"/>
  <c r="AN125" i="19" s="1"/>
  <c r="AN126" i="19" s="1"/>
  <c r="AJ125" i="19" a="1"/>
  <c r="AJ125" i="19" s="1"/>
  <c r="AP122" i="19" a="1"/>
  <c r="AP122" i="19" s="1"/>
  <c r="AP123" i="19" s="1"/>
  <c r="AL122" i="19" a="1"/>
  <c r="AL122" i="19" s="1"/>
  <c r="AL123" i="19" s="1"/>
  <c r="AO122" i="19" a="1"/>
  <c r="AO122" i="19" s="1"/>
  <c r="AO123" i="19" s="1"/>
  <c r="AK122" i="19" a="1"/>
  <c r="AK122" i="19" s="1"/>
  <c r="AK123" i="19" s="1"/>
  <c r="AP119" i="19" a="1"/>
  <c r="AP119" i="19" s="1"/>
  <c r="AP120" i="19" s="1"/>
  <c r="AO116" i="19" a="1"/>
  <c r="AO116" i="19" s="1"/>
  <c r="AO117" i="19" s="1"/>
  <c r="AK116" i="19" a="1"/>
  <c r="AK116" i="19" s="1"/>
  <c r="AK117" i="19" s="1"/>
  <c r="AJ116" i="19" a="1"/>
  <c r="AJ116" i="19" s="1"/>
  <c r="AJ117" i="19" s="1"/>
  <c r="H81" i="32"/>
  <c r="H82" i="32" s="1"/>
  <c r="D138" i="10"/>
  <c r="D142" i="10"/>
  <c r="D143" i="10"/>
  <c r="E29" i="19"/>
  <c r="F29" i="19"/>
  <c r="G29" i="19"/>
  <c r="H29" i="19"/>
  <c r="I29" i="19"/>
  <c r="J29" i="19"/>
  <c r="D29" i="19"/>
  <c r="F152" i="10"/>
  <c r="D27" i="25" s="1"/>
  <c r="F151" i="10"/>
  <c r="D26" i="25" s="1"/>
  <c r="E135" i="10"/>
  <c r="F136" i="10" s="1"/>
  <c r="E26" i="10"/>
  <c r="L44" i="19"/>
  <c r="C44" i="19"/>
  <c r="L43" i="19"/>
  <c r="L42" i="19"/>
  <c r="L41" i="19"/>
  <c r="C43" i="19"/>
  <c r="C42" i="19"/>
  <c r="C41" i="19"/>
  <c r="C40" i="19"/>
  <c r="L18" i="19"/>
  <c r="B44" i="19"/>
  <c r="B43" i="19"/>
  <c r="B42" i="19"/>
  <c r="B41" i="19"/>
  <c r="B40" i="19"/>
  <c r="F117" i="34"/>
  <c r="E116" i="34"/>
  <c r="E120" i="34" s="1"/>
  <c r="F84" i="34"/>
  <c r="E83" i="34" s="1"/>
  <c r="F78" i="34"/>
  <c r="E77" i="34"/>
  <c r="F65" i="34"/>
  <c r="E64" i="34"/>
  <c r="F67" i="34" s="1"/>
  <c r="E60" i="34"/>
  <c r="F61" i="34" s="1"/>
  <c r="F35" i="34"/>
  <c r="E34" i="34"/>
  <c r="F37" i="34" s="1"/>
  <c r="E30" i="34"/>
  <c r="F31" i="34" s="1"/>
  <c r="E16" i="34"/>
  <c r="N22" i="32"/>
  <c r="E42" i="34" s="1"/>
  <c r="M22" i="32"/>
  <c r="F43" i="34" s="1"/>
  <c r="AN264" i="17"/>
  <c r="AM264" i="17"/>
  <c r="AN249" i="17"/>
  <c r="AM249" i="17"/>
  <c r="D15" i="17"/>
  <c r="E264" i="17"/>
  <c r="G79" i="32"/>
  <c r="G80" i="32"/>
  <c r="B59" i="35" l="1" a="1"/>
  <c r="B59" i="35" s="1"/>
  <c r="B60" i="35" a="1"/>
  <c r="B60" i="35" s="1"/>
  <c r="B57" i="35" a="1"/>
  <c r="B57" i="35" s="1"/>
  <c r="D57" i="35" s="1" a="1"/>
  <c r="D57" i="35" s="1"/>
  <c r="B58" i="35" a="1"/>
  <c r="B58" i="35" s="1"/>
  <c r="D58" i="35" s="1" a="1"/>
  <c r="D58" i="35" s="1"/>
  <c r="H159" i="19"/>
  <c r="T159" i="19"/>
  <c r="P159" i="19"/>
  <c r="D159" i="19"/>
  <c r="J159" i="19"/>
  <c r="V159" i="19"/>
  <c r="F159" i="19"/>
  <c r="R159" i="19"/>
  <c r="S159" i="19"/>
  <c r="G159" i="19"/>
  <c r="I159" i="19"/>
  <c r="U159" i="19"/>
  <c r="E159" i="19"/>
  <c r="Q159" i="19"/>
  <c r="E94" i="34"/>
  <c r="B53" i="35" a="1"/>
  <c r="B53" i="35" s="1"/>
  <c r="B10" i="35" a="1"/>
  <c r="B10" i="35" s="1"/>
  <c r="B15" i="35" a="1"/>
  <c r="B15" i="35" s="1"/>
  <c r="D15" i="35" s="1" a="1"/>
  <c r="D15" i="35" s="1"/>
  <c r="B18" i="35" a="1"/>
  <c r="B18" i="35" s="1"/>
  <c r="B23" i="35" a="1"/>
  <c r="B23" i="35" s="1"/>
  <c r="B26" i="35" a="1"/>
  <c r="B26" i="35" s="1"/>
  <c r="B31" i="35" a="1"/>
  <c r="B31" i="35" s="1"/>
  <c r="B34" i="35" a="1"/>
  <c r="B34" i="35" s="1"/>
  <c r="B39" i="35" a="1"/>
  <c r="B39" i="35" s="1"/>
  <c r="B42" i="35" a="1"/>
  <c r="B42" i="35" s="1"/>
  <c r="B47" i="35" a="1"/>
  <c r="B47" i="35" s="1"/>
  <c r="D47" i="35" s="1" a="1"/>
  <c r="D47" i="35" s="1"/>
  <c r="B50" i="35" a="1"/>
  <c r="B50" i="35" s="1"/>
  <c r="B56" i="35" a="1"/>
  <c r="B56" i="35" s="1"/>
  <c r="D56" i="35" s="1" a="1"/>
  <c r="D56" i="35" s="1"/>
  <c r="B13" i="35" a="1"/>
  <c r="B13" i="35" s="1"/>
  <c r="D13" i="35" s="1" a="1"/>
  <c r="D13" i="35" s="1"/>
  <c r="B16" i="35" a="1"/>
  <c r="B16" i="35" s="1"/>
  <c r="D16" i="35" s="1" a="1"/>
  <c r="D16" i="35" s="1"/>
  <c r="B21" i="35" a="1"/>
  <c r="B21" i="35" s="1"/>
  <c r="B24" i="35" a="1"/>
  <c r="B24" i="35" s="1"/>
  <c r="B29" i="35" a="1"/>
  <c r="B29" i="35" s="1"/>
  <c r="B32" i="35" a="1"/>
  <c r="B32" i="35" s="1"/>
  <c r="B37" i="35" a="1"/>
  <c r="B37" i="35" s="1"/>
  <c r="B40" i="35" a="1"/>
  <c r="B40" i="35" s="1"/>
  <c r="B45" i="35" a="1"/>
  <c r="B45" i="35" s="1"/>
  <c r="B48" i="35" a="1"/>
  <c r="B48" i="35" s="1"/>
  <c r="D48" i="35" s="1" a="1"/>
  <c r="D48" i="35" s="1"/>
  <c r="B51" i="35" a="1"/>
  <c r="B51" i="35" s="1"/>
  <c r="B52" i="35" a="1"/>
  <c r="B52" i="35" s="1"/>
  <c r="D52" i="35" s="1" a="1"/>
  <c r="D52" i="35" s="1"/>
  <c r="B12" i="35" a="1"/>
  <c r="B12" i="35" s="1"/>
  <c r="D12" i="35" s="1" a="1"/>
  <c r="D12" i="35" s="1"/>
  <c r="B17" i="35" a="1"/>
  <c r="B17" i="35" s="1"/>
  <c r="B28" i="35" a="1"/>
  <c r="B28" i="35" s="1"/>
  <c r="B36" i="35" a="1"/>
  <c r="B36" i="35" s="1"/>
  <c r="B41" i="35" a="1"/>
  <c r="B41" i="35" s="1"/>
  <c r="B49" i="35" a="1"/>
  <c r="B49" i="35" s="1"/>
  <c r="D49" i="35" s="1" a="1"/>
  <c r="D49" i="35" s="1"/>
  <c r="B54" i="35" a="1"/>
  <c r="B54" i="35" s="1"/>
  <c r="B11" i="35" a="1"/>
  <c r="B11" i="35" s="1"/>
  <c r="B14" i="35" a="1"/>
  <c r="B14" i="35" s="1"/>
  <c r="D14" i="35" s="1" a="1"/>
  <c r="D14" i="35" s="1"/>
  <c r="B19" i="35" a="1"/>
  <c r="B19" i="35" s="1"/>
  <c r="B22" i="35" a="1"/>
  <c r="B22" i="35" s="1"/>
  <c r="B27" i="35" a="1"/>
  <c r="B27" i="35" s="1"/>
  <c r="B30" i="35" a="1"/>
  <c r="B30" i="35" s="1"/>
  <c r="B35" i="35" a="1"/>
  <c r="B35" i="35" s="1"/>
  <c r="B38" i="35" a="1"/>
  <c r="B38" i="35" s="1"/>
  <c r="B43" i="35" a="1"/>
  <c r="B43" i="35" s="1"/>
  <c r="B46" i="35" a="1"/>
  <c r="B46" i="35" s="1"/>
  <c r="D46" i="35" s="1" a="1"/>
  <c r="D46" i="35" s="1"/>
  <c r="B55" i="35" a="1"/>
  <c r="B55" i="35" s="1"/>
  <c r="B9" i="35" a="1"/>
  <c r="B9" i="35" s="1"/>
  <c r="D9" i="35" s="1" a="1"/>
  <c r="D9" i="35" s="1"/>
  <c r="B20" i="35" a="1"/>
  <c r="B20" i="35" s="1"/>
  <c r="B25" i="35" a="1"/>
  <c r="B25" i="35" s="1"/>
  <c r="B33" i="35" a="1"/>
  <c r="B33" i="35" s="1"/>
  <c r="B44" i="35" a="1"/>
  <c r="B44" i="35" s="1"/>
  <c r="F27" i="10"/>
  <c r="AN120" i="19"/>
  <c r="AM116" i="19" a="1"/>
  <c r="AM116" i="19" s="1"/>
  <c r="AM117" i="19" s="1"/>
  <c r="AK125" i="19" a="1"/>
  <c r="AK125" i="19" s="1"/>
  <c r="AK126" i="19" s="1"/>
  <c r="AQ124" i="19"/>
  <c r="AO125" i="19" a="1"/>
  <c r="AO125" i="19" s="1"/>
  <c r="AO126" i="19" s="1"/>
  <c r="AM131" i="19" a="1"/>
  <c r="AM131" i="19" s="1"/>
  <c r="AM132" i="19" s="1"/>
  <c r="AQ130" i="19"/>
  <c r="AM119" i="19" a="1"/>
  <c r="AM119" i="19" s="1"/>
  <c r="AQ119" i="19" s="1"/>
  <c r="AQ118" i="19"/>
  <c r="AQ127" i="19"/>
  <c r="AL128" i="19" a="1"/>
  <c r="AL128" i="19" s="1"/>
  <c r="AP128" i="19" a="1"/>
  <c r="AP128" i="19" s="1"/>
  <c r="AP129" i="19" s="1"/>
  <c r="AL116" i="19" a="1"/>
  <c r="AL116" i="19" s="1"/>
  <c r="AP116" i="19" a="1"/>
  <c r="AP116" i="19" s="1"/>
  <c r="AP117" i="19" s="1"/>
  <c r="AQ122" i="19"/>
  <c r="AJ126" i="19"/>
  <c r="AQ115" i="19"/>
  <c r="AJ120" i="19"/>
  <c r="AJ123" i="19"/>
  <c r="AQ121" i="19"/>
  <c r="AN123" i="19"/>
  <c r="AK134" i="19" a="1"/>
  <c r="AK134" i="19" s="1"/>
  <c r="AK135" i="19" s="1"/>
  <c r="AO134" i="19" a="1"/>
  <c r="AO134" i="19" s="1"/>
  <c r="AO135" i="19" s="1"/>
  <c r="AQ133" i="19"/>
  <c r="AJ131" i="19" a="1"/>
  <c r="AJ131" i="19" s="1"/>
  <c r="AJ132" i="19" s="1"/>
  <c r="AN131" i="19" a="1"/>
  <c r="AN131" i="19" s="1"/>
  <c r="AN132" i="19" s="1"/>
  <c r="AL134" i="19" a="1"/>
  <c r="AL134" i="19" s="1"/>
  <c r="AL135" i="19" s="1"/>
  <c r="AP134" i="19" a="1"/>
  <c r="AP134" i="19" s="1"/>
  <c r="AP135" i="19" s="1"/>
  <c r="F40" i="34"/>
  <c r="G86" i="32"/>
  <c r="H86" i="32"/>
  <c r="F154" i="10"/>
  <c r="D25" i="25" s="1"/>
  <c r="K41" i="19" a="1"/>
  <c r="K41" i="19" s="1"/>
  <c r="K43" i="19" a="1"/>
  <c r="K43" i="19" s="1"/>
  <c r="K40" i="19" a="1"/>
  <c r="K40" i="19" s="1"/>
  <c r="K42" i="19" a="1"/>
  <c r="K42" i="19" s="1"/>
  <c r="K44" i="19" a="1"/>
  <c r="K44" i="19" s="1"/>
  <c r="F79" i="34"/>
  <c r="B8" i="35" a="1"/>
  <c r="B8" i="35" s="1"/>
  <c r="F121" i="34"/>
  <c r="E66" i="34"/>
  <c r="E36" i="34"/>
  <c r="D264" i="17"/>
  <c r="H42" i="22"/>
  <c r="H43" i="22" s="1"/>
  <c r="H44" i="22" s="1"/>
  <c r="H45" i="22" s="1"/>
  <c r="H46" i="22" s="1"/>
  <c r="H47" i="22" s="1"/>
  <c r="H48" i="22" s="1"/>
  <c r="H49" i="22" s="1"/>
  <c r="H50" i="22" s="1"/>
  <c r="D42" i="22"/>
  <c r="D43" i="22" s="1"/>
  <c r="D44" i="22" s="1"/>
  <c r="D45" i="22" s="1"/>
  <c r="I185" i="10"/>
  <c r="J185" i="10"/>
  <c r="K185" i="10"/>
  <c r="L185" i="10"/>
  <c r="H185" i="10"/>
  <c r="D161" i="10"/>
  <c r="D160" i="10"/>
  <c r="D159" i="10"/>
  <c r="D158" i="10"/>
  <c r="D155" i="10"/>
  <c r="D154" i="10"/>
  <c r="D153" i="10"/>
  <c r="D152" i="10"/>
  <c r="D151" i="10"/>
  <c r="D150" i="10"/>
  <c r="D145" i="10"/>
  <c r="D144" i="10"/>
  <c r="D139" i="10"/>
  <c r="D137" i="10"/>
  <c r="D136" i="10"/>
  <c r="D135" i="10"/>
  <c r="D134" i="10"/>
  <c r="D133" i="10"/>
  <c r="D132" i="10"/>
  <c r="D131" i="10"/>
  <c r="D130" i="10"/>
  <c r="D129" i="10"/>
  <c r="D128" i="10"/>
  <c r="D127" i="10"/>
  <c r="D126" i="10"/>
  <c r="D125" i="10"/>
  <c r="D124" i="10"/>
  <c r="D123" i="10"/>
  <c r="D122" i="10"/>
  <c r="D121" i="10"/>
  <c r="D120" i="10"/>
  <c r="D119" i="10"/>
  <c r="D118" i="10"/>
  <c r="D117" i="10"/>
  <c r="D116" i="10"/>
  <c r="D115" i="10"/>
  <c r="D114" i="10"/>
  <c r="D113" i="10"/>
  <c r="D112" i="10"/>
  <c r="D111" i="10"/>
  <c r="D110" i="10"/>
  <c r="D109" i="10"/>
  <c r="D108" i="10"/>
  <c r="D107" i="10"/>
  <c r="D106" i="10"/>
  <c r="D105" i="10"/>
  <c r="D104" i="10"/>
  <c r="D103" i="10"/>
  <c r="D102" i="10"/>
  <c r="D101" i="10"/>
  <c r="D100" i="10"/>
  <c r="D99" i="10"/>
  <c r="D98" i="10"/>
  <c r="D97" i="10"/>
  <c r="D96" i="10"/>
  <c r="D95" i="10"/>
  <c r="D94" i="10"/>
  <c r="D93" i="10"/>
  <c r="D92" i="10"/>
  <c r="D91" i="10"/>
  <c r="D90" i="10"/>
  <c r="D89" i="10"/>
  <c r="D88" i="10"/>
  <c r="D87" i="10"/>
  <c r="D86" i="10"/>
  <c r="D85" i="10"/>
  <c r="D84" i="10"/>
  <c r="D83" i="10"/>
  <c r="D82" i="10"/>
  <c r="D81" i="10"/>
  <c r="D80" i="10"/>
  <c r="D79" i="10"/>
  <c r="D78" i="10"/>
  <c r="D77" i="10"/>
  <c r="D76" i="10"/>
  <c r="D75" i="10"/>
  <c r="D74" i="10"/>
  <c r="D73" i="10"/>
  <c r="D72" i="10"/>
  <c r="D71" i="10"/>
  <c r="D70" i="10"/>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H37" i="23"/>
  <c r="H36" i="23"/>
  <c r="H35" i="23"/>
  <c r="H34" i="23"/>
  <c r="H33" i="23"/>
  <c r="H32" i="23"/>
  <c r="H31" i="23"/>
  <c r="H30" i="23"/>
  <c r="H29" i="23"/>
  <c r="H28" i="23"/>
  <c r="H27" i="23"/>
  <c r="H26" i="23"/>
  <c r="L12" i="19"/>
  <c r="L11" i="19"/>
  <c r="L10" i="19"/>
  <c r="L9" i="19"/>
  <c r="L30" i="19"/>
  <c r="L26" i="19"/>
  <c r="L34" i="19"/>
  <c r="L17" i="19"/>
  <c r="L14" i="19"/>
  <c r="L32" i="19"/>
  <c r="L25" i="19"/>
  <c r="L22" i="19"/>
  <c r="L16" i="19"/>
  <c r="L13" i="19"/>
  <c r="L33" i="19"/>
  <c r="L27" i="19"/>
  <c r="L19" i="19"/>
  <c r="L15" i="19"/>
  <c r="L35" i="19"/>
  <c r="L31" i="19"/>
  <c r="L28" i="19"/>
  <c r="L23" i="19"/>
  <c r="L20" i="19"/>
  <c r="L8" i="19"/>
  <c r="AK112" i="19"/>
  <c r="AL112" i="19"/>
  <c r="AM112" i="19"/>
  <c r="AM113" i="19" s="1" a="1"/>
  <c r="AM113" i="19" s="1"/>
  <c r="AM114" i="19" s="1"/>
  <c r="AN112" i="19"/>
  <c r="AN113" i="19" s="1" a="1"/>
  <c r="AN113" i="19" s="1"/>
  <c r="AO112" i="19"/>
  <c r="AP112" i="19"/>
  <c r="AJ112" i="19"/>
  <c r="AJ113" i="19" s="1" a="1"/>
  <c r="AJ113" i="19" s="1"/>
  <c r="AK109" i="19"/>
  <c r="AK110" i="19" s="1" a="1"/>
  <c r="AK110" i="19" s="1"/>
  <c r="AK111" i="19" s="1"/>
  <c r="AL109" i="19"/>
  <c r="AL110" i="19" s="1" a="1"/>
  <c r="AL110" i="19" s="1"/>
  <c r="AL111" i="19" s="1"/>
  <c r="AM109" i="19"/>
  <c r="AM110" i="19" s="1" a="1"/>
  <c r="AM110" i="19" s="1"/>
  <c r="AN109" i="19"/>
  <c r="AO109" i="19"/>
  <c r="AO110" i="19" s="1" a="1"/>
  <c r="AO110" i="19" s="1"/>
  <c r="AO111" i="19" s="1"/>
  <c r="AP109" i="19"/>
  <c r="AJ109" i="19"/>
  <c r="AK106" i="19"/>
  <c r="AK107" i="19" s="1" a="1"/>
  <c r="AK107" i="19" s="1"/>
  <c r="AK108" i="19" s="1"/>
  <c r="AL106" i="19"/>
  <c r="AM106" i="19"/>
  <c r="AM107" i="19" s="1" a="1"/>
  <c r="AM107" i="19" s="1"/>
  <c r="AM108" i="19" s="1"/>
  <c r="AN106" i="19"/>
  <c r="AN107" i="19" s="1" a="1"/>
  <c r="AN107" i="19" s="1"/>
  <c r="AN108" i="19" s="1"/>
  <c r="AO106" i="19"/>
  <c r="AO107" i="19" s="1" a="1"/>
  <c r="AO107" i="19" s="1"/>
  <c r="AO108" i="19" s="1"/>
  <c r="AP106" i="19"/>
  <c r="AJ106" i="19"/>
  <c r="AJ107" i="19" s="1" a="1"/>
  <c r="AJ107" i="19" s="1"/>
  <c r="AK103" i="19"/>
  <c r="AL103" i="19"/>
  <c r="AL104" i="19" s="1" a="1"/>
  <c r="AL104" i="19" s="1"/>
  <c r="AL105" i="19" s="1"/>
  <c r="AM103" i="19"/>
  <c r="AM104" i="19" s="1" a="1"/>
  <c r="AM104" i="19" s="1"/>
  <c r="AM105" i="19" s="1"/>
  <c r="AN103" i="19"/>
  <c r="AN104" i="19" s="1" a="1"/>
  <c r="AN104" i="19" s="1"/>
  <c r="AN105" i="19" s="1"/>
  <c r="AO103" i="19"/>
  <c r="AP103" i="19"/>
  <c r="AP104" i="19" s="1" a="1"/>
  <c r="AP104" i="19" s="1"/>
  <c r="AP105" i="19" s="1"/>
  <c r="AJ103" i="19"/>
  <c r="AJ104" i="19" s="1" a="1"/>
  <c r="AJ104" i="19" s="1"/>
  <c r="AK100" i="19"/>
  <c r="AK101" i="19" s="1" a="1"/>
  <c r="AK101" i="19" s="1"/>
  <c r="AK102" i="19" s="1"/>
  <c r="AL100" i="19"/>
  <c r="AL101" i="19" s="1" a="1"/>
  <c r="AL101" i="19" s="1"/>
  <c r="AL102" i="19" s="1"/>
  <c r="AM100" i="19"/>
  <c r="AM101" i="19" s="1" a="1"/>
  <c r="AM101" i="19" s="1"/>
  <c r="AM102" i="19" s="1"/>
  <c r="AN100" i="19"/>
  <c r="AO100" i="19"/>
  <c r="AO101" i="19" s="1" a="1"/>
  <c r="AO101" i="19" s="1"/>
  <c r="AO102" i="19" s="1"/>
  <c r="AP100" i="19"/>
  <c r="AP101" i="19" s="1" a="1"/>
  <c r="AP101" i="19" s="1"/>
  <c r="AP102" i="19" s="1"/>
  <c r="AJ100" i="19"/>
  <c r="AK97" i="19"/>
  <c r="AK98" i="19" s="1" a="1"/>
  <c r="AK98" i="19" s="1"/>
  <c r="AK99" i="19" s="1"/>
  <c r="AL97" i="19"/>
  <c r="AL98" i="19" s="1" a="1"/>
  <c r="AL98" i="19" s="1"/>
  <c r="AL99" i="19" s="1"/>
  <c r="AM97" i="19"/>
  <c r="AN97" i="19"/>
  <c r="AN98" i="19" s="1" a="1"/>
  <c r="AN98" i="19" s="1"/>
  <c r="AN99" i="19" s="1"/>
  <c r="AO97" i="19"/>
  <c r="AO98" i="19" s="1" a="1"/>
  <c r="AO98" i="19" s="1"/>
  <c r="AO99" i="19" s="1"/>
  <c r="AP97" i="19"/>
  <c r="AP98" i="19" s="1" a="1"/>
  <c r="AP98" i="19" s="1"/>
  <c r="AP99" i="19" s="1"/>
  <c r="AJ97" i="19"/>
  <c r="AK94" i="19"/>
  <c r="AK95" i="19" s="1" a="1"/>
  <c r="AK95" i="19" s="1"/>
  <c r="AK96" i="19" s="1"/>
  <c r="AL94" i="19"/>
  <c r="AM94" i="19"/>
  <c r="AM95" i="19" s="1" a="1"/>
  <c r="AM95" i="19" s="1"/>
  <c r="AM96" i="19" s="1"/>
  <c r="AN94" i="19"/>
  <c r="AN95" i="19" s="1" a="1"/>
  <c r="AN95" i="19" s="1"/>
  <c r="AN96" i="19" s="1"/>
  <c r="AO94" i="19"/>
  <c r="AO95" i="19" s="1" a="1"/>
  <c r="AO95" i="19" s="1"/>
  <c r="AO96" i="19" s="1"/>
  <c r="AP94" i="19"/>
  <c r="AJ94" i="19"/>
  <c r="AJ95" i="19" s="1" a="1"/>
  <c r="AJ95" i="19" s="1"/>
  <c r="AI112" i="19"/>
  <c r="AI109" i="19"/>
  <c r="AI106" i="19"/>
  <c r="AI103" i="19"/>
  <c r="AI100" i="19"/>
  <c r="AI97" i="19"/>
  <c r="AI94" i="19"/>
  <c r="AJ98" i="19" a="1"/>
  <c r="AJ98" i="19" s="1"/>
  <c r="L39" i="19"/>
  <c r="L38" i="19"/>
  <c r="L37" i="19"/>
  <c r="L36" i="19"/>
  <c r="C39" i="19"/>
  <c r="C38" i="19"/>
  <c r="C37" i="19"/>
  <c r="C36" i="19"/>
  <c r="C35" i="19"/>
  <c r="B39" i="19"/>
  <c r="B38" i="19"/>
  <c r="B37" i="19"/>
  <c r="B36" i="19"/>
  <c r="B35" i="19"/>
  <c r="B34" i="19"/>
  <c r="B33" i="19"/>
  <c r="B32" i="19"/>
  <c r="B31" i="19"/>
  <c r="C34" i="19"/>
  <c r="C33" i="19"/>
  <c r="C32" i="19"/>
  <c r="C30" i="19"/>
  <c r="C31" i="19"/>
  <c r="B30" i="19"/>
  <c r="B29" i="19"/>
  <c r="B28" i="19"/>
  <c r="B27" i="19"/>
  <c r="B26" i="19"/>
  <c r="B25" i="19"/>
  <c r="B24" i="19"/>
  <c r="B23" i="19"/>
  <c r="B22" i="19"/>
  <c r="B21" i="19"/>
  <c r="B20" i="19"/>
  <c r="B19" i="19"/>
  <c r="B18" i="19"/>
  <c r="B17" i="19"/>
  <c r="B16" i="19"/>
  <c r="B15" i="19"/>
  <c r="B14" i="19"/>
  <c r="B13" i="19"/>
  <c r="B11" i="19"/>
  <c r="B10" i="19"/>
  <c r="B12" i="19"/>
  <c r="B9" i="19"/>
  <c r="B8" i="19"/>
  <c r="N158" i="19"/>
  <c r="N157" i="19"/>
  <c r="N156" i="19"/>
  <c r="N155" i="19"/>
  <c r="N154" i="19"/>
  <c r="AK91" i="19"/>
  <c r="AK92" i="19" s="1" a="1"/>
  <c r="AK92" i="19" s="1"/>
  <c r="AL91" i="19"/>
  <c r="AL92" i="19" s="1" a="1"/>
  <c r="AL92" i="19" s="1"/>
  <c r="AM91" i="19"/>
  <c r="AM92" i="19" s="1" a="1"/>
  <c r="AM92" i="19" s="1"/>
  <c r="AN91" i="19"/>
  <c r="AN92" i="19" s="1" a="1"/>
  <c r="AN92" i="19" s="1"/>
  <c r="AO91" i="19"/>
  <c r="AO92" i="19" s="1" a="1"/>
  <c r="AO92" i="19" s="1"/>
  <c r="AP91" i="19"/>
  <c r="AP92" i="19" s="1" a="1"/>
  <c r="AP92" i="19" s="1"/>
  <c r="AJ91" i="19"/>
  <c r="AJ92" i="19" s="1" a="1"/>
  <c r="AJ92" i="19" s="1"/>
  <c r="AK88" i="19"/>
  <c r="AK89" i="19" s="1" a="1"/>
  <c r="AK89" i="19" s="1"/>
  <c r="AL88" i="19"/>
  <c r="AL89" i="19" s="1" a="1"/>
  <c r="AL89" i="19" s="1"/>
  <c r="AM88" i="19"/>
  <c r="AM89" i="19" s="1" a="1"/>
  <c r="AM89" i="19" s="1"/>
  <c r="AN88" i="19"/>
  <c r="AN89" i="19" s="1" a="1"/>
  <c r="AN89" i="19" s="1"/>
  <c r="AO88" i="19"/>
  <c r="AO89" i="19" s="1" a="1"/>
  <c r="AO89" i="19" s="1"/>
  <c r="AP88" i="19"/>
  <c r="AP89" i="19" s="1" a="1"/>
  <c r="AP89" i="19" s="1"/>
  <c r="AJ88" i="19"/>
  <c r="AJ89" i="19" s="1" a="1"/>
  <c r="AJ89" i="19" s="1"/>
  <c r="AK85" i="19"/>
  <c r="AL85" i="19"/>
  <c r="AM85" i="19"/>
  <c r="AN85" i="19"/>
  <c r="AO85" i="19"/>
  <c r="AP85" i="19"/>
  <c r="AJ85" i="19"/>
  <c r="AK82" i="19"/>
  <c r="AL82" i="19"/>
  <c r="AM82" i="19"/>
  <c r="AN82" i="19"/>
  <c r="AO82" i="19"/>
  <c r="AP82" i="19"/>
  <c r="AJ82" i="19"/>
  <c r="AK79" i="19"/>
  <c r="AL79" i="19"/>
  <c r="AM79" i="19"/>
  <c r="AN79" i="19"/>
  <c r="AO79" i="19"/>
  <c r="AP79" i="19"/>
  <c r="AJ79" i="19"/>
  <c r="AK76" i="19"/>
  <c r="AL76" i="19"/>
  <c r="AM76" i="19"/>
  <c r="AN76" i="19"/>
  <c r="AO76" i="19"/>
  <c r="AP76" i="19"/>
  <c r="AJ76" i="19"/>
  <c r="AK73" i="19"/>
  <c r="AL73" i="19"/>
  <c r="AM73" i="19"/>
  <c r="AN73" i="19"/>
  <c r="AO73" i="19"/>
  <c r="AP73" i="19"/>
  <c r="AJ73" i="19"/>
  <c r="N9" i="19"/>
  <c r="N10" i="19"/>
  <c r="N11" i="19"/>
  <c r="N12" i="19"/>
  <c r="N13" i="19"/>
  <c r="N14" i="19"/>
  <c r="N15" i="19"/>
  <c r="N16" i="19"/>
  <c r="N17" i="19"/>
  <c r="N18" i="19"/>
  <c r="N19" i="19"/>
  <c r="N20" i="19"/>
  <c r="N21" i="19"/>
  <c r="N22" i="19"/>
  <c r="N23" i="19"/>
  <c r="N24" i="19"/>
  <c r="N25" i="19"/>
  <c r="N26" i="19"/>
  <c r="N27" i="19"/>
  <c r="N28" i="19"/>
  <c r="N29" i="19"/>
  <c r="N30" i="19"/>
  <c r="N31" i="19"/>
  <c r="N32" i="19"/>
  <c r="N33" i="19"/>
  <c r="N34" i="19"/>
  <c r="N35" i="19"/>
  <c r="N36" i="19"/>
  <c r="N37" i="19"/>
  <c r="N38" i="19"/>
  <c r="N39" i="19"/>
  <c r="N40" i="19"/>
  <c r="N41" i="19"/>
  <c r="N42" i="19"/>
  <c r="N43" i="19"/>
  <c r="N44" i="19"/>
  <c r="N45" i="19"/>
  <c r="N46" i="19"/>
  <c r="N47" i="19"/>
  <c r="N48" i="19"/>
  <c r="N49" i="19"/>
  <c r="N50" i="19"/>
  <c r="N51" i="19"/>
  <c r="N52" i="19"/>
  <c r="N53" i="19"/>
  <c r="N54" i="19"/>
  <c r="N55" i="19"/>
  <c r="N56" i="19"/>
  <c r="N57" i="19"/>
  <c r="N58" i="19"/>
  <c r="N59" i="19"/>
  <c r="N60" i="19"/>
  <c r="N61" i="19"/>
  <c r="N62" i="19"/>
  <c r="N63" i="19"/>
  <c r="N64" i="19"/>
  <c r="N65" i="19"/>
  <c r="N66" i="19"/>
  <c r="N67" i="19"/>
  <c r="N68" i="19"/>
  <c r="N69" i="19"/>
  <c r="N70" i="19"/>
  <c r="N71" i="19"/>
  <c r="N72" i="19"/>
  <c r="N73" i="19"/>
  <c r="N74" i="19"/>
  <c r="N75" i="19"/>
  <c r="N76" i="19"/>
  <c r="N77" i="19"/>
  <c r="N78" i="19"/>
  <c r="N79" i="19"/>
  <c r="N80" i="19"/>
  <c r="N81" i="19"/>
  <c r="N82" i="19"/>
  <c r="N83" i="19"/>
  <c r="N84" i="19"/>
  <c r="N85" i="19"/>
  <c r="N86" i="19"/>
  <c r="N87" i="19"/>
  <c r="N88" i="19"/>
  <c r="N89" i="19"/>
  <c r="N90" i="19"/>
  <c r="N91" i="19"/>
  <c r="N92" i="19"/>
  <c r="N93" i="19"/>
  <c r="N94" i="19"/>
  <c r="N95" i="19"/>
  <c r="N96" i="19"/>
  <c r="N97" i="19"/>
  <c r="N98" i="19"/>
  <c r="N99" i="19"/>
  <c r="N100" i="19"/>
  <c r="N101" i="19"/>
  <c r="N102" i="19"/>
  <c r="N103" i="19"/>
  <c r="N104" i="19"/>
  <c r="N105" i="19"/>
  <c r="N106" i="19"/>
  <c r="N107" i="19"/>
  <c r="N108" i="19"/>
  <c r="N109" i="19"/>
  <c r="N110" i="19"/>
  <c r="N111" i="19"/>
  <c r="N112" i="19"/>
  <c r="N113" i="19"/>
  <c r="N114" i="19"/>
  <c r="N115" i="19"/>
  <c r="N116" i="19"/>
  <c r="N117" i="19"/>
  <c r="N118" i="19"/>
  <c r="N119" i="19"/>
  <c r="N120" i="19"/>
  <c r="N121" i="19"/>
  <c r="N122" i="19"/>
  <c r="N123" i="19"/>
  <c r="N124" i="19"/>
  <c r="N125" i="19"/>
  <c r="N126" i="19"/>
  <c r="N127" i="19"/>
  <c r="N128" i="19"/>
  <c r="N129" i="19"/>
  <c r="N130" i="19"/>
  <c r="N131" i="19"/>
  <c r="N132" i="19"/>
  <c r="N133" i="19"/>
  <c r="N134" i="19"/>
  <c r="N135" i="19"/>
  <c r="N136" i="19"/>
  <c r="N137" i="19"/>
  <c r="N138" i="19"/>
  <c r="N139" i="19"/>
  <c r="N140" i="19"/>
  <c r="N141" i="19"/>
  <c r="N142" i="19"/>
  <c r="N143" i="19"/>
  <c r="N144" i="19"/>
  <c r="N145" i="19"/>
  <c r="N146" i="19"/>
  <c r="N147" i="19"/>
  <c r="N148" i="19"/>
  <c r="N149" i="19"/>
  <c r="N150" i="19"/>
  <c r="N151" i="19"/>
  <c r="N152" i="19"/>
  <c r="N153" i="19"/>
  <c r="N8" i="19"/>
  <c r="AB22" i="19"/>
  <c r="AB21" i="19"/>
  <c r="AB20" i="19"/>
  <c r="AB19" i="19"/>
  <c r="AB18" i="19"/>
  <c r="AB17" i="19"/>
  <c r="AB16" i="19"/>
  <c r="E87" i="32" l="1"/>
  <c r="F46" i="34" s="1"/>
  <c r="E11" i="34"/>
  <c r="F12" i="34" s="1"/>
  <c r="C32" i="24"/>
  <c r="C8" i="25" a="1"/>
  <c r="C8" i="25" s="1"/>
  <c r="F54" i="20" s="1"/>
  <c r="E95" i="34"/>
  <c r="F96" i="34" s="1"/>
  <c r="W52" i="19"/>
  <c r="X52" i="19" s="1"/>
  <c r="U160" i="19"/>
  <c r="W56" i="19"/>
  <c r="X56" i="19" s="1"/>
  <c r="W55" i="19"/>
  <c r="X55" i="19" s="1"/>
  <c r="X50" i="19"/>
  <c r="W51" i="19"/>
  <c r="X51" i="19" s="1"/>
  <c r="W54" i="19"/>
  <c r="X54" i="19" s="1"/>
  <c r="W53" i="19"/>
  <c r="X53" i="19" s="1"/>
  <c r="G49" i="20"/>
  <c r="F22" i="24"/>
  <c r="F21" i="24"/>
  <c r="F26" i="24"/>
  <c r="F23" i="24"/>
  <c r="F14" i="24"/>
  <c r="F13" i="24"/>
  <c r="F27" i="24"/>
  <c r="F24" i="24"/>
  <c r="F15" i="24"/>
  <c r="F25" i="24"/>
  <c r="F16" i="24"/>
  <c r="B34" i="25" a="1"/>
  <c r="B34" i="25" s="1"/>
  <c r="B39" i="25" a="1"/>
  <c r="B39" i="25" s="1"/>
  <c r="B42" i="25" a="1"/>
  <c r="B42" i="25" s="1"/>
  <c r="B47" i="25" a="1"/>
  <c r="B47" i="25" s="1"/>
  <c r="B50" i="25" a="1"/>
  <c r="B50" i="25" s="1"/>
  <c r="B55" i="25" a="1"/>
  <c r="B55" i="25" s="1"/>
  <c r="B36" i="25" a="1"/>
  <c r="B36" i="25" s="1"/>
  <c r="B41" i="25" a="1"/>
  <c r="B41" i="25" s="1"/>
  <c r="B37" i="25" a="1"/>
  <c r="B37" i="25" s="1"/>
  <c r="B40" i="25" a="1"/>
  <c r="B40" i="25" s="1"/>
  <c r="B45" i="25" a="1"/>
  <c r="B45" i="25" s="1"/>
  <c r="B48" i="25" a="1"/>
  <c r="B48" i="25" s="1"/>
  <c r="B53" i="25" a="1"/>
  <c r="B53" i="25" s="1"/>
  <c r="B56" i="25" a="1"/>
  <c r="B56" i="25" s="1"/>
  <c r="B35" i="25" a="1"/>
  <c r="B35" i="25" s="1"/>
  <c r="B38" i="25" a="1"/>
  <c r="B38" i="25" s="1"/>
  <c r="B43" i="25" a="1"/>
  <c r="B43" i="25" s="1"/>
  <c r="B46" i="25" a="1"/>
  <c r="B46" i="25" s="1"/>
  <c r="B51" i="25" a="1"/>
  <c r="B51" i="25" s="1"/>
  <c r="B54" i="25" a="1"/>
  <c r="B54" i="25" s="1"/>
  <c r="B49" i="25" a="1"/>
  <c r="B49" i="25" s="1"/>
  <c r="B52" i="25" a="1"/>
  <c r="B52" i="25" s="1"/>
  <c r="B44" i="25" a="1"/>
  <c r="B44" i="25" s="1"/>
  <c r="G16" i="20"/>
  <c r="G20" i="20"/>
  <c r="G24" i="20"/>
  <c r="G17" i="20"/>
  <c r="G21" i="20"/>
  <c r="G14" i="20"/>
  <c r="G18" i="20"/>
  <c r="G22" i="20"/>
  <c r="G15" i="20"/>
  <c r="G19" i="20"/>
  <c r="G23" i="20"/>
  <c r="AQ132" i="19"/>
  <c r="AR132" i="19" s="1"/>
  <c r="AS132" i="19" s="1"/>
  <c r="AU132" i="19" s="1"/>
  <c r="AQ128" i="19"/>
  <c r="AQ123" i="19"/>
  <c r="AR123" i="19" s="1"/>
  <c r="AS123" i="19" s="1"/>
  <c r="AU123" i="19" s="1"/>
  <c r="AQ116" i="19"/>
  <c r="AL117" i="19"/>
  <c r="AQ117" i="19" s="1"/>
  <c r="E84" i="10"/>
  <c r="AQ135" i="19"/>
  <c r="AQ126" i="19"/>
  <c r="AQ125" i="19"/>
  <c r="AM120" i="19"/>
  <c r="AQ120" i="19" s="1"/>
  <c r="AL129" i="19"/>
  <c r="AQ129" i="19" s="1"/>
  <c r="F87" i="32"/>
  <c r="W49" i="19"/>
  <c r="X49" i="19" s="1"/>
  <c r="W45" i="19"/>
  <c r="X45" i="19" s="1"/>
  <c r="W47" i="19"/>
  <c r="X47" i="19" s="1"/>
  <c r="W43" i="19"/>
  <c r="X43" i="19" s="1"/>
  <c r="W46" i="19"/>
  <c r="X46" i="19" s="1"/>
  <c r="W48" i="19"/>
  <c r="X48" i="19" s="1"/>
  <c r="W44" i="19"/>
  <c r="X44" i="19" s="1"/>
  <c r="E49" i="10"/>
  <c r="E68" i="10"/>
  <c r="F69" i="10" s="1"/>
  <c r="K27" i="19"/>
  <c r="K26" i="19"/>
  <c r="K25" i="19"/>
  <c r="K24" i="19"/>
  <c r="K28" i="19"/>
  <c r="E122" i="10"/>
  <c r="E103" i="10"/>
  <c r="K8" i="19"/>
  <c r="W8" i="19" s="1"/>
  <c r="E19" i="10"/>
  <c r="E32" i="10"/>
  <c r="F34" i="10" s="1"/>
  <c r="F33" i="34"/>
  <c r="E265" i="17"/>
  <c r="D265" i="17"/>
  <c r="C264" i="17"/>
  <c r="K35" i="19" a="1"/>
  <c r="K35" i="19" s="1"/>
  <c r="K34" i="19"/>
  <c r="K31" i="19"/>
  <c r="K32" i="19"/>
  <c r="K33" i="19"/>
  <c r="K30" i="19"/>
  <c r="K23" i="19"/>
  <c r="K29" i="19" s="1"/>
  <c r="L29" i="19" s="1"/>
  <c r="E142" i="10" s="1"/>
  <c r="K22" i="19"/>
  <c r="K21" i="19"/>
  <c r="K20" i="19"/>
  <c r="K19" i="19"/>
  <c r="K18" i="19"/>
  <c r="K16" i="19"/>
  <c r="K17" i="19"/>
  <c r="K14" i="19"/>
  <c r="K12" i="19"/>
  <c r="K13" i="19"/>
  <c r="K15" i="19"/>
  <c r="K11" i="19" a="1"/>
  <c r="K11" i="19" s="1"/>
  <c r="K10" i="19" a="1"/>
  <c r="K10" i="19" s="1"/>
  <c r="K9" i="19" a="1"/>
  <c r="K9" i="19" s="1"/>
  <c r="AJ105" i="19"/>
  <c r="AJ108" i="19"/>
  <c r="AJ99" i="19"/>
  <c r="AJ96" i="19"/>
  <c r="AQ97" i="19"/>
  <c r="AJ101" i="19" a="1"/>
  <c r="AJ101" i="19" s="1"/>
  <c r="AJ102" i="19" s="1"/>
  <c r="AN101" i="19" a="1"/>
  <c r="AN101" i="19" s="1"/>
  <c r="AN102" i="19" s="1"/>
  <c r="AQ94" i="19"/>
  <c r="AK104" i="19" a="1"/>
  <c r="AK104" i="19" s="1"/>
  <c r="AK105" i="19" s="1"/>
  <c r="AO104" i="19" a="1"/>
  <c r="AO104" i="19" s="1"/>
  <c r="AQ104" i="19" s="1"/>
  <c r="AQ106" i="19"/>
  <c r="AJ110" i="19" a="1"/>
  <c r="AJ110" i="19" s="1"/>
  <c r="AJ111" i="19" s="1"/>
  <c r="AN110" i="19" a="1"/>
  <c r="AN110" i="19" s="1"/>
  <c r="AN111" i="19" s="1"/>
  <c r="AP110" i="19" a="1"/>
  <c r="AP110" i="19" s="1"/>
  <c r="AP111" i="19" s="1"/>
  <c r="AK113" i="19" a="1"/>
  <c r="AK113" i="19" s="1"/>
  <c r="AK114" i="19" s="1"/>
  <c r="AO113" i="19" a="1"/>
  <c r="AO113" i="19" s="1"/>
  <c r="AO114" i="19" s="1"/>
  <c r="AJ114" i="19"/>
  <c r="AN114" i="19"/>
  <c r="AQ109" i="19"/>
  <c r="AL95" i="19" a="1"/>
  <c r="AL95" i="19" s="1"/>
  <c r="AL96" i="19" s="1"/>
  <c r="AP95" i="19" a="1"/>
  <c r="AP95" i="19" s="1"/>
  <c r="AP96" i="19" s="1"/>
  <c r="AQ103" i="19"/>
  <c r="AL107" i="19" a="1"/>
  <c r="AL107" i="19" s="1"/>
  <c r="AL108" i="19" s="1"/>
  <c r="AP107" i="19" a="1"/>
  <c r="AP107" i="19" s="1"/>
  <c r="AP108" i="19" s="1"/>
  <c r="AM111" i="19"/>
  <c r="AQ112" i="19"/>
  <c r="AM98" i="19" a="1"/>
  <c r="AM98" i="19" s="1"/>
  <c r="AQ98" i="19" s="1"/>
  <c r="AQ100" i="19"/>
  <c r="AL113" i="19" a="1"/>
  <c r="AL113" i="19" s="1"/>
  <c r="AL114" i="19" s="1"/>
  <c r="AP113" i="19" a="1"/>
  <c r="AP113" i="19" s="1"/>
  <c r="AP114" i="19" s="1"/>
  <c r="K39" i="19" a="1"/>
  <c r="K39" i="19" s="1"/>
  <c r="K36" i="19" a="1"/>
  <c r="K36" i="19" s="1"/>
  <c r="K38" i="19" a="1"/>
  <c r="K38" i="19" s="1"/>
  <c r="K37" i="19" a="1"/>
  <c r="K37" i="19" s="1"/>
  <c r="AI91" i="19"/>
  <c r="AP93" i="19"/>
  <c r="AO93" i="19"/>
  <c r="AN93" i="19"/>
  <c r="AM93" i="19"/>
  <c r="AL93" i="19"/>
  <c r="AK93" i="19"/>
  <c r="AJ93" i="19"/>
  <c r="AQ91" i="19"/>
  <c r="AI88" i="19"/>
  <c r="AI85" i="19"/>
  <c r="AI82" i="19"/>
  <c r="AI79" i="19"/>
  <c r="AI76" i="19"/>
  <c r="AI73" i="19"/>
  <c r="AP90" i="19"/>
  <c r="AO90" i="19"/>
  <c r="AN90" i="19"/>
  <c r="AM90" i="19"/>
  <c r="AL90" i="19"/>
  <c r="AK90" i="19"/>
  <c r="AJ90" i="19"/>
  <c r="AQ88" i="19"/>
  <c r="AP86" i="19" a="1"/>
  <c r="AP86" i="19" s="1"/>
  <c r="AP87" i="19" s="1"/>
  <c r="AO86" i="19" a="1"/>
  <c r="AO86" i="19" s="1"/>
  <c r="AO87" i="19" s="1"/>
  <c r="AN86" i="19" a="1"/>
  <c r="AN86" i="19" s="1"/>
  <c r="AN87" i="19" s="1"/>
  <c r="AM86" i="19" a="1"/>
  <c r="AM86" i="19" s="1"/>
  <c r="AM87" i="19" s="1"/>
  <c r="AL86" i="19" a="1"/>
  <c r="AL86" i="19" s="1"/>
  <c r="AL87" i="19" s="1"/>
  <c r="AK86" i="19" a="1"/>
  <c r="AK86" i="19" s="1"/>
  <c r="AK87" i="19" s="1"/>
  <c r="AJ86" i="19" a="1"/>
  <c r="AJ86" i="19" s="1"/>
  <c r="AQ85" i="19"/>
  <c r="AP83" i="19" a="1"/>
  <c r="AP83" i="19" s="1"/>
  <c r="AP84" i="19" s="1"/>
  <c r="AO83" i="19" a="1"/>
  <c r="AO83" i="19" s="1"/>
  <c r="AO84" i="19" s="1"/>
  <c r="AN83" i="19" a="1"/>
  <c r="AN83" i="19" s="1"/>
  <c r="AN84" i="19" s="1"/>
  <c r="AM83" i="19" a="1"/>
  <c r="AM83" i="19" s="1"/>
  <c r="AM84" i="19" s="1"/>
  <c r="AL83" i="19" a="1"/>
  <c r="AL83" i="19" s="1"/>
  <c r="AL84" i="19" s="1"/>
  <c r="AK83" i="19" a="1"/>
  <c r="AK83" i="19" s="1"/>
  <c r="AK84" i="19" s="1"/>
  <c r="AJ83" i="19" a="1"/>
  <c r="AJ83" i="19" s="1"/>
  <c r="AQ82" i="19"/>
  <c r="AP80" i="19" a="1"/>
  <c r="AP80" i="19" s="1"/>
  <c r="AP81" i="19" s="1"/>
  <c r="AO80" i="19" a="1"/>
  <c r="AO80" i="19" s="1"/>
  <c r="AO81" i="19" s="1"/>
  <c r="AN80" i="19" a="1"/>
  <c r="AN80" i="19" s="1"/>
  <c r="AN81" i="19" s="1"/>
  <c r="AM80" i="19" a="1"/>
  <c r="AM80" i="19" s="1"/>
  <c r="AM81" i="19" s="1"/>
  <c r="AL80" i="19" a="1"/>
  <c r="AL80" i="19" s="1"/>
  <c r="AL81" i="19" s="1"/>
  <c r="AK80" i="19" a="1"/>
  <c r="AK80" i="19" s="1"/>
  <c r="AK81" i="19" s="1"/>
  <c r="AJ80" i="19" a="1"/>
  <c r="AJ80" i="19" s="1"/>
  <c r="AQ79" i="19"/>
  <c r="AP77" i="19" a="1"/>
  <c r="AP77" i="19" s="1"/>
  <c r="AP78" i="19" s="1"/>
  <c r="AO77" i="19" a="1"/>
  <c r="AO77" i="19" s="1"/>
  <c r="AO78" i="19" s="1"/>
  <c r="AN77" i="19" a="1"/>
  <c r="AN77" i="19" s="1"/>
  <c r="AN78" i="19" s="1"/>
  <c r="AM77" i="19" a="1"/>
  <c r="AM77" i="19" s="1"/>
  <c r="AM78" i="19" s="1"/>
  <c r="AL77" i="19" a="1"/>
  <c r="AL77" i="19" s="1"/>
  <c r="AL78" i="19" s="1"/>
  <c r="AK77" i="19" a="1"/>
  <c r="AK77" i="19" s="1"/>
  <c r="AK78" i="19" s="1"/>
  <c r="AJ77" i="19" a="1"/>
  <c r="AJ77" i="19" s="1"/>
  <c r="AQ76" i="19"/>
  <c r="AP74" i="19" a="1"/>
  <c r="AP74" i="19" s="1"/>
  <c r="AP75" i="19" s="1"/>
  <c r="AO74" i="19" a="1"/>
  <c r="AO74" i="19" s="1"/>
  <c r="AO75" i="19" s="1"/>
  <c r="AN74" i="19" a="1"/>
  <c r="AN74" i="19" s="1"/>
  <c r="AN75" i="19" s="1"/>
  <c r="AM74" i="19" a="1"/>
  <c r="AM74" i="19" s="1"/>
  <c r="AM75" i="19" s="1"/>
  <c r="AL74" i="19" a="1"/>
  <c r="AL74" i="19" s="1"/>
  <c r="AL75" i="19" s="1"/>
  <c r="AK74" i="19" a="1"/>
  <c r="AK74" i="19" s="1"/>
  <c r="AK75" i="19" s="1"/>
  <c r="AJ74" i="19" a="1"/>
  <c r="AJ74" i="19" s="1"/>
  <c r="AQ73" i="19"/>
  <c r="M23" i="32"/>
  <c r="M24" i="32"/>
  <c r="M25" i="32"/>
  <c r="M26" i="32"/>
  <c r="M27" i="32"/>
  <c r="M28" i="32"/>
  <c r="M29" i="32"/>
  <c r="M30" i="32"/>
  <c r="M31" i="32"/>
  <c r="M32" i="32"/>
  <c r="M33" i="32"/>
  <c r="M34" i="32"/>
  <c r="M35" i="32"/>
  <c r="M36" i="32"/>
  <c r="M37" i="32"/>
  <c r="M38" i="32"/>
  <c r="M39" i="32"/>
  <c r="M40" i="32"/>
  <c r="M41" i="32"/>
  <c r="M42" i="32"/>
  <c r="M43" i="32"/>
  <c r="M44" i="32"/>
  <c r="M45" i="32"/>
  <c r="M46" i="32"/>
  <c r="M47" i="32"/>
  <c r="M48" i="32"/>
  <c r="M49" i="32"/>
  <c r="M50" i="32"/>
  <c r="M51" i="32"/>
  <c r="M52" i="32"/>
  <c r="F93" i="34" s="1"/>
  <c r="M53" i="32"/>
  <c r="F148" i="34" s="1"/>
  <c r="M54" i="32"/>
  <c r="M55" i="32"/>
  <c r="M56" i="32"/>
  <c r="M57" i="32"/>
  <c r="E18" i="30"/>
  <c r="D18" i="30"/>
  <c r="D19" i="30" s="1"/>
  <c r="G16" i="30"/>
  <c r="G15" i="30"/>
  <c r="G17" i="30"/>
  <c r="G13" i="30"/>
  <c r="G5" i="30"/>
  <c r="F5" i="29"/>
  <c r="E123" i="10"/>
  <c r="G11" i="32"/>
  <c r="G12" i="32"/>
  <c r="B33" i="25" l="1" a="1"/>
  <c r="B33" i="25" s="1"/>
  <c r="B32" i="25" a="1"/>
  <c r="B32" i="25" s="1"/>
  <c r="D24" i="30"/>
  <c r="G19" i="30"/>
  <c r="B27" i="25" a="1"/>
  <c r="B27" i="25" s="1"/>
  <c r="B11" i="25" a="1"/>
  <c r="B11" i="25" s="1"/>
  <c r="B29" i="25" a="1"/>
  <c r="B29" i="25" s="1"/>
  <c r="B12" i="25" a="1"/>
  <c r="B12" i="25" s="1"/>
  <c r="D12" i="25" s="1" a="1"/>
  <c r="D12" i="25" s="1"/>
  <c r="F19" i="20" s="1"/>
  <c r="B15" i="25" a="1"/>
  <c r="B15" i="25" s="1"/>
  <c r="D15" i="25" s="1" a="1"/>
  <c r="D15" i="25" s="1"/>
  <c r="B13" i="25" a="1"/>
  <c r="B13" i="25" s="1"/>
  <c r="D13" i="25" s="1" a="1"/>
  <c r="D13" i="25" s="1"/>
  <c r="F20" i="20" s="1"/>
  <c r="B28" i="25" a="1"/>
  <c r="B28" i="25" s="1"/>
  <c r="B31" i="25" a="1"/>
  <c r="B31" i="25" s="1"/>
  <c r="J31" i="25" s="1" a="1"/>
  <c r="J31" i="25" s="1"/>
  <c r="F28" i="20"/>
  <c r="F45" i="20"/>
  <c r="F29" i="20"/>
  <c r="B25" i="25" a="1"/>
  <c r="B25" i="25" s="1"/>
  <c r="B26" i="25" a="1"/>
  <c r="B26" i="25" s="1"/>
  <c r="B10" i="25" a="1"/>
  <c r="B10" i="25" s="1"/>
  <c r="B19" i="25" a="1"/>
  <c r="B19" i="25" s="1"/>
  <c r="D19" i="25" s="1" a="1"/>
  <c r="D19" i="25" s="1"/>
  <c r="B21" i="25" a="1"/>
  <c r="B21" i="25" s="1"/>
  <c r="J21" i="25" s="1" a="1"/>
  <c r="J21" i="25" s="1"/>
  <c r="B20" i="25" a="1"/>
  <c r="B20" i="25" s="1"/>
  <c r="B23" i="25" a="1"/>
  <c r="B23" i="25" s="1"/>
  <c r="B22" i="25" a="1"/>
  <c r="B22" i="25" s="1"/>
  <c r="J22" i="25" s="1" a="1"/>
  <c r="J22" i="25" s="1"/>
  <c r="B24" i="25" a="1"/>
  <c r="B24" i="25" s="1"/>
  <c r="B9" i="25" a="1"/>
  <c r="B9" i="25" s="1"/>
  <c r="B30" i="25" a="1"/>
  <c r="B30" i="25" s="1"/>
  <c r="B14" i="25" a="1"/>
  <c r="B14" i="25" s="1"/>
  <c r="D14" i="25" s="1" a="1"/>
  <c r="D14" i="25" s="1"/>
  <c r="F21" i="20" s="1"/>
  <c r="B16" i="25" a="1"/>
  <c r="B16" i="25" s="1"/>
  <c r="B17" i="25" a="1"/>
  <c r="B17" i="25" s="1"/>
  <c r="J17" i="25" s="1" a="1"/>
  <c r="J17" i="25" s="1"/>
  <c r="B18" i="25" a="1"/>
  <c r="B18" i="25" s="1"/>
  <c r="J18" i="25" s="1" a="1"/>
  <c r="J18" i="25" s="1"/>
  <c r="AR117" i="19"/>
  <c r="F131" i="34"/>
  <c r="F110" i="34"/>
  <c r="E122" i="34"/>
  <c r="E126" i="34"/>
  <c r="F127" i="34" s="1"/>
  <c r="F134" i="34"/>
  <c r="E133" i="34" s="1"/>
  <c r="F115" i="34"/>
  <c r="E114" i="34" s="1"/>
  <c r="E17" i="24"/>
  <c r="F43" i="20"/>
  <c r="F44" i="20"/>
  <c r="G13" i="20"/>
  <c r="B8" i="25" a="1"/>
  <c r="B8" i="25" s="1"/>
  <c r="F20" i="10"/>
  <c r="H87" i="32"/>
  <c r="E88" i="32" s="1"/>
  <c r="E45" i="34"/>
  <c r="J11" i="25" a="1"/>
  <c r="J11" i="25" s="1"/>
  <c r="G25" i="20"/>
  <c r="G37" i="20"/>
  <c r="G38" i="20"/>
  <c r="G39" i="20"/>
  <c r="G35" i="20"/>
  <c r="G34" i="20"/>
  <c r="G53" i="20"/>
  <c r="G40" i="20"/>
  <c r="G26" i="20"/>
  <c r="G36" i="20"/>
  <c r="J13" i="25" a="1"/>
  <c r="J13" i="25" s="1"/>
  <c r="E25" i="24"/>
  <c r="F17" i="20"/>
  <c r="AR120" i="19"/>
  <c r="AS120" i="19" s="1"/>
  <c r="AU120" i="19" s="1"/>
  <c r="AR129" i="19"/>
  <c r="AS129" i="19" s="1"/>
  <c r="AU129" i="19" s="1"/>
  <c r="AR126" i="19"/>
  <c r="AS126" i="19" s="1"/>
  <c r="AU126" i="19" s="1"/>
  <c r="E137" i="10"/>
  <c r="F143" i="10"/>
  <c r="AR135" i="19"/>
  <c r="AS135" i="19" s="1"/>
  <c r="AU135" i="19" s="1"/>
  <c r="E32" i="34"/>
  <c r="G87" i="32"/>
  <c r="W33" i="19"/>
  <c r="X33" i="19" s="1"/>
  <c r="W29" i="19"/>
  <c r="W35" i="19"/>
  <c r="X35" i="19" s="1"/>
  <c r="W31" i="19"/>
  <c r="W34" i="19"/>
  <c r="X34" i="19" s="1"/>
  <c r="W30" i="19"/>
  <c r="W32" i="19"/>
  <c r="X32" i="19" s="1"/>
  <c r="W9" i="19"/>
  <c r="W10" i="19"/>
  <c r="W15" i="19"/>
  <c r="W16" i="19"/>
  <c r="W21" i="19"/>
  <c r="W22" i="19"/>
  <c r="W20" i="19"/>
  <c r="W41" i="19"/>
  <c r="X41" i="19" s="1"/>
  <c r="W37" i="19"/>
  <c r="X37" i="19" s="1"/>
  <c r="W39" i="19"/>
  <c r="X39" i="19" s="1"/>
  <c r="W42" i="19"/>
  <c r="X42" i="19" s="1"/>
  <c r="W38" i="19"/>
  <c r="X38" i="19" s="1"/>
  <c r="W40" i="19"/>
  <c r="X40" i="19" s="1"/>
  <c r="W36" i="19"/>
  <c r="X36" i="19" s="1"/>
  <c r="W13" i="19"/>
  <c r="W11" i="19"/>
  <c r="W14" i="19"/>
  <c r="W12" i="19"/>
  <c r="W17" i="19"/>
  <c r="W19" i="19"/>
  <c r="W18" i="19"/>
  <c r="W25" i="19"/>
  <c r="W27" i="19"/>
  <c r="W23" i="19"/>
  <c r="W26" i="19"/>
  <c r="W28" i="19"/>
  <c r="W24" i="19"/>
  <c r="AQ111" i="19"/>
  <c r="AR111" i="19" s="1"/>
  <c r="AS111" i="19" s="1"/>
  <c r="AU111" i="19" s="1"/>
  <c r="AO105" i="19"/>
  <c r="AQ105" i="19" s="1"/>
  <c r="AQ95" i="19"/>
  <c r="AQ107" i="19"/>
  <c r="AQ102" i="19"/>
  <c r="AQ96" i="19"/>
  <c r="AM99" i="19"/>
  <c r="AQ99" i="19" s="1"/>
  <c r="AQ101" i="19"/>
  <c r="AQ114" i="19"/>
  <c r="AQ108" i="19"/>
  <c r="AQ90" i="19"/>
  <c r="AR90" i="19" s="1"/>
  <c r="AS90" i="19" s="1"/>
  <c r="AU90" i="19" s="1"/>
  <c r="AQ93" i="19"/>
  <c r="AR93" i="19" s="1"/>
  <c r="AS93" i="19" s="1"/>
  <c r="AU93" i="19" s="1"/>
  <c r="O22" i="32"/>
  <c r="E41" i="34" s="1"/>
  <c r="H13" i="32"/>
  <c r="E8" i="34" s="1"/>
  <c r="AQ80" i="19"/>
  <c r="AJ81" i="19"/>
  <c r="AQ81" i="19" s="1"/>
  <c r="AQ86" i="19"/>
  <c r="AJ87" i="19"/>
  <c r="AQ87" i="19" s="1"/>
  <c r="AQ74" i="19"/>
  <c r="AJ75" i="19"/>
  <c r="AQ75" i="19" s="1"/>
  <c r="AQ77" i="19"/>
  <c r="AJ78" i="19"/>
  <c r="AQ78" i="19" s="1"/>
  <c r="AQ83" i="19"/>
  <c r="AJ84" i="19"/>
  <c r="AQ84" i="19" s="1"/>
  <c r="F124" i="10"/>
  <c r="E20" i="27"/>
  <c r="F20" i="27"/>
  <c r="G20" i="27"/>
  <c r="H20" i="27"/>
  <c r="C26" i="27" s="1"/>
  <c r="E26" i="27" s="1"/>
  <c r="I20" i="27"/>
  <c r="C27" i="27" s="1"/>
  <c r="D20" i="27"/>
  <c r="E85" i="10"/>
  <c r="F86" i="10" s="1"/>
  <c r="F105" i="10"/>
  <c r="E27" i="27"/>
  <c r="B19" i="27"/>
  <c r="B14" i="27"/>
  <c r="B15" i="27"/>
  <c r="B16" i="27"/>
  <c r="B17" i="27"/>
  <c r="B18" i="27"/>
  <c r="B13" i="27"/>
  <c r="AE19" i="19"/>
  <c r="AF19" i="19" s="1"/>
  <c r="AE18" i="19"/>
  <c r="AF18" i="19" s="1"/>
  <c r="AE20" i="19"/>
  <c r="AF20" i="19" s="1"/>
  <c r="AE21" i="19"/>
  <c r="AF21" i="19" s="1"/>
  <c r="AE22" i="19"/>
  <c r="AF22" i="19" s="1"/>
  <c r="AE17" i="19"/>
  <c r="AF17" i="19" s="1"/>
  <c r="AE16" i="19"/>
  <c r="AF16" i="19" s="1"/>
  <c r="D37" i="23"/>
  <c r="D36" i="23"/>
  <c r="D35" i="23"/>
  <c r="D34" i="23"/>
  <c r="D33" i="23"/>
  <c r="D32" i="23"/>
  <c r="D31" i="23"/>
  <c r="D30" i="23"/>
  <c r="D29" i="23"/>
  <c r="D28" i="23"/>
  <c r="D27" i="23"/>
  <c r="AI70" i="19"/>
  <c r="AQ70" i="19"/>
  <c r="AQ67" i="19"/>
  <c r="AQ64" i="19"/>
  <c r="AQ61" i="19"/>
  <c r="AQ58" i="19"/>
  <c r="AQ55" i="19"/>
  <c r="AQ52" i="19"/>
  <c r="AQ49" i="19"/>
  <c r="AQ46" i="19"/>
  <c r="AQ43" i="19"/>
  <c r="AQ40" i="19"/>
  <c r="AQ37" i="19"/>
  <c r="AQ34" i="19"/>
  <c r="AQ31" i="19"/>
  <c r="AP68" i="19" a="1"/>
  <c r="AP68" i="19" s="1"/>
  <c r="AP69" i="19" s="1"/>
  <c r="AO68" i="19" a="1"/>
  <c r="AO68" i="19" s="1"/>
  <c r="AO69" i="19" s="1"/>
  <c r="AN68" i="19" a="1"/>
  <c r="AN68" i="19" s="1"/>
  <c r="AN69" i="19" s="1"/>
  <c r="AM68" i="19" a="1"/>
  <c r="AM68" i="19" s="1"/>
  <c r="AM69" i="19" s="1"/>
  <c r="AL68" i="19" a="1"/>
  <c r="AL68" i="19" s="1"/>
  <c r="AL69" i="19" s="1"/>
  <c r="AK68" i="19" a="1"/>
  <c r="AK68" i="19" s="1"/>
  <c r="AK69" i="19" s="1"/>
  <c r="AJ68" i="19" a="1"/>
  <c r="AJ68" i="19" s="1"/>
  <c r="AJ69" i="19" s="1"/>
  <c r="AP65" i="19" a="1"/>
  <c r="AP65" i="19" s="1"/>
  <c r="AP66" i="19" s="1"/>
  <c r="AO65" i="19" a="1"/>
  <c r="AO65" i="19" s="1"/>
  <c r="AO66" i="19" s="1"/>
  <c r="AN65" i="19" a="1"/>
  <c r="AN65" i="19" s="1"/>
  <c r="AN66" i="19" s="1"/>
  <c r="AM65" i="19" a="1"/>
  <c r="AM65" i="19" s="1"/>
  <c r="AM66" i="19" s="1"/>
  <c r="AL65" i="19" a="1"/>
  <c r="AL65" i="19" s="1"/>
  <c r="AL66" i="19" s="1"/>
  <c r="AK65" i="19" a="1"/>
  <c r="AK65" i="19" s="1"/>
  <c r="AK66" i="19" s="1"/>
  <c r="AJ65" i="19" a="1"/>
  <c r="AJ65" i="19" s="1"/>
  <c r="AJ66" i="19" s="1"/>
  <c r="AP62" i="19" a="1"/>
  <c r="AP62" i="19" s="1"/>
  <c r="AP63" i="19" s="1"/>
  <c r="AO62" i="19" a="1"/>
  <c r="AO62" i="19" s="1"/>
  <c r="AO63" i="19" s="1"/>
  <c r="AN62" i="19" a="1"/>
  <c r="AN62" i="19" s="1"/>
  <c r="AN63" i="19" s="1"/>
  <c r="AM62" i="19" a="1"/>
  <c r="AM62" i="19" s="1"/>
  <c r="AM63" i="19" s="1"/>
  <c r="AL62" i="19" a="1"/>
  <c r="AL62" i="19" s="1"/>
  <c r="AL63" i="19" s="1"/>
  <c r="AK62" i="19" a="1"/>
  <c r="AK62" i="19" s="1"/>
  <c r="AK63" i="19" s="1"/>
  <c r="AJ62" i="19" a="1"/>
  <c r="AJ62" i="19" s="1"/>
  <c r="AJ63" i="19" s="1"/>
  <c r="AP59" i="19" a="1"/>
  <c r="AP59" i="19" s="1"/>
  <c r="AP60" i="19" s="1"/>
  <c r="AO59" i="19" a="1"/>
  <c r="AO59" i="19" s="1"/>
  <c r="AO60" i="19" s="1"/>
  <c r="AN59" i="19" a="1"/>
  <c r="AN59" i="19" s="1"/>
  <c r="AN60" i="19" s="1"/>
  <c r="AM59" i="19" a="1"/>
  <c r="AM59" i="19" s="1"/>
  <c r="AM60" i="19" s="1"/>
  <c r="AL59" i="19" a="1"/>
  <c r="AL59" i="19" s="1"/>
  <c r="AL60" i="19" s="1"/>
  <c r="AK59" i="19" a="1"/>
  <c r="AK59" i="19" s="1"/>
  <c r="AK60" i="19" s="1"/>
  <c r="AJ59" i="19" a="1"/>
  <c r="AJ59" i="19" s="1"/>
  <c r="AJ60" i="19" s="1"/>
  <c r="AP56" i="19" a="1"/>
  <c r="AP56" i="19" s="1"/>
  <c r="AP57" i="19" s="1"/>
  <c r="AO56" i="19" a="1"/>
  <c r="AO56" i="19" s="1"/>
  <c r="AO57" i="19" s="1"/>
  <c r="AN56" i="19" a="1"/>
  <c r="AN56" i="19" s="1"/>
  <c r="AN57" i="19" s="1"/>
  <c r="AM56" i="19" a="1"/>
  <c r="AM56" i="19" s="1"/>
  <c r="AM57" i="19" s="1"/>
  <c r="AL56" i="19" a="1"/>
  <c r="AL56" i="19" s="1"/>
  <c r="AL57" i="19" s="1"/>
  <c r="AK56" i="19" a="1"/>
  <c r="AK56" i="19" s="1"/>
  <c r="AK57" i="19" s="1"/>
  <c r="AJ56" i="19" a="1"/>
  <c r="AJ56" i="19" s="1"/>
  <c r="AJ57" i="19" s="1"/>
  <c r="AP53" i="19" a="1"/>
  <c r="AP53" i="19" s="1"/>
  <c r="AP54" i="19" s="1"/>
  <c r="AO53" i="19" a="1"/>
  <c r="AO53" i="19" s="1"/>
  <c r="AO54" i="19" s="1"/>
  <c r="AN53" i="19" a="1"/>
  <c r="AN53" i="19" s="1"/>
  <c r="AN54" i="19" s="1"/>
  <c r="AM53" i="19" a="1"/>
  <c r="AM53" i="19" s="1"/>
  <c r="AM54" i="19" s="1"/>
  <c r="AL53" i="19" a="1"/>
  <c r="AL53" i="19" s="1"/>
  <c r="AL54" i="19" s="1"/>
  <c r="AK53" i="19" a="1"/>
  <c r="AK53" i="19" s="1"/>
  <c r="AK54" i="19" s="1"/>
  <c r="AJ53" i="19" a="1"/>
  <c r="AJ53" i="19" s="1"/>
  <c r="AJ54" i="19" s="1"/>
  <c r="AP50" i="19" a="1"/>
  <c r="AP50" i="19" s="1"/>
  <c r="AP51" i="19" s="1"/>
  <c r="AO50" i="19" a="1"/>
  <c r="AO50" i="19" s="1"/>
  <c r="AO51" i="19" s="1"/>
  <c r="AN50" i="19" a="1"/>
  <c r="AN50" i="19" s="1"/>
  <c r="AN51" i="19" s="1"/>
  <c r="AM50" i="19" a="1"/>
  <c r="AM50" i="19" s="1"/>
  <c r="AM51" i="19" s="1"/>
  <c r="AL50" i="19" a="1"/>
  <c r="AL50" i="19" s="1"/>
  <c r="AL51" i="19" s="1"/>
  <c r="AK50" i="19" a="1"/>
  <c r="AK50" i="19" s="1"/>
  <c r="AK51" i="19" s="1"/>
  <c r="AJ50" i="19" a="1"/>
  <c r="AJ50" i="19" s="1"/>
  <c r="AJ51" i="19" s="1"/>
  <c r="AP47" i="19" a="1"/>
  <c r="AP47" i="19" s="1"/>
  <c r="AP48" i="19" s="1"/>
  <c r="AO47" i="19" a="1"/>
  <c r="AO47" i="19" s="1"/>
  <c r="AO48" i="19" s="1"/>
  <c r="AN47" i="19" a="1"/>
  <c r="AN47" i="19" s="1"/>
  <c r="AN48" i="19" s="1"/>
  <c r="AM47" i="19" a="1"/>
  <c r="AM47" i="19" s="1"/>
  <c r="AM48" i="19" s="1"/>
  <c r="AL47" i="19" a="1"/>
  <c r="AL47" i="19" s="1"/>
  <c r="AL48" i="19" s="1"/>
  <c r="AK47" i="19" a="1"/>
  <c r="AK47" i="19" s="1"/>
  <c r="AK48" i="19" s="1"/>
  <c r="AJ47" i="19" a="1"/>
  <c r="AJ47" i="19" s="1"/>
  <c r="AJ48" i="19" s="1"/>
  <c r="AP44" i="19" a="1"/>
  <c r="AP44" i="19" s="1"/>
  <c r="AP45" i="19" s="1"/>
  <c r="AO44" i="19" a="1"/>
  <c r="AO44" i="19" s="1"/>
  <c r="AO45" i="19" s="1"/>
  <c r="AN44" i="19" a="1"/>
  <c r="AN44" i="19" s="1"/>
  <c r="AN45" i="19" s="1"/>
  <c r="AM44" i="19" a="1"/>
  <c r="AM44" i="19" s="1"/>
  <c r="AM45" i="19" s="1"/>
  <c r="AL44" i="19" a="1"/>
  <c r="AL44" i="19" s="1"/>
  <c r="AL45" i="19" s="1"/>
  <c r="AK44" i="19" a="1"/>
  <c r="AK44" i="19" s="1"/>
  <c r="AK45" i="19" s="1"/>
  <c r="AJ44" i="19" a="1"/>
  <c r="AJ44" i="19" s="1"/>
  <c r="AJ45" i="19" s="1"/>
  <c r="AP41" i="19" a="1"/>
  <c r="AP41" i="19" s="1"/>
  <c r="AP42" i="19" s="1"/>
  <c r="AO41" i="19" a="1"/>
  <c r="AO41" i="19" s="1"/>
  <c r="AO42" i="19" s="1"/>
  <c r="AN41" i="19" a="1"/>
  <c r="AN41" i="19" s="1"/>
  <c r="AN42" i="19" s="1"/>
  <c r="AM41" i="19" a="1"/>
  <c r="AM41" i="19" s="1"/>
  <c r="AM42" i="19" s="1"/>
  <c r="AL41" i="19" a="1"/>
  <c r="AL41" i="19" s="1"/>
  <c r="AL42" i="19" s="1"/>
  <c r="AK41" i="19" a="1"/>
  <c r="AK41" i="19" s="1"/>
  <c r="AK42" i="19" s="1"/>
  <c r="AJ41" i="19" a="1"/>
  <c r="AJ41" i="19" s="1"/>
  <c r="AJ42" i="19" s="1"/>
  <c r="AP38" i="19" a="1"/>
  <c r="AP38" i="19" s="1"/>
  <c r="AP39" i="19" s="1"/>
  <c r="AO38" i="19" a="1"/>
  <c r="AO38" i="19" s="1"/>
  <c r="AO39" i="19" s="1"/>
  <c r="AN38" i="19" a="1"/>
  <c r="AN38" i="19" s="1"/>
  <c r="AN39" i="19" s="1"/>
  <c r="AM38" i="19" a="1"/>
  <c r="AM38" i="19" s="1"/>
  <c r="AM39" i="19" s="1"/>
  <c r="AL38" i="19" a="1"/>
  <c r="AL38" i="19" s="1"/>
  <c r="AL39" i="19" s="1"/>
  <c r="AK38" i="19" a="1"/>
  <c r="AK38" i="19" s="1"/>
  <c r="AK39" i="19" s="1"/>
  <c r="AJ38" i="19" a="1"/>
  <c r="AJ38" i="19" s="1"/>
  <c r="AJ39" i="19" s="1"/>
  <c r="AP35" i="19" a="1"/>
  <c r="AP35" i="19" s="1"/>
  <c r="AP36" i="19" s="1"/>
  <c r="AO35" i="19" a="1"/>
  <c r="AO35" i="19" s="1"/>
  <c r="AO36" i="19" s="1"/>
  <c r="AN35" i="19" a="1"/>
  <c r="AN35" i="19" s="1"/>
  <c r="AN36" i="19" s="1"/>
  <c r="AM35" i="19" a="1"/>
  <c r="AM35" i="19" s="1"/>
  <c r="AM36" i="19" s="1"/>
  <c r="AL35" i="19" a="1"/>
  <c r="AL35" i="19" s="1"/>
  <c r="AL36" i="19" s="1"/>
  <c r="AK35" i="19" a="1"/>
  <c r="AK35" i="19" s="1"/>
  <c r="AK36" i="19" s="1"/>
  <c r="AJ35" i="19" a="1"/>
  <c r="AJ35" i="19" s="1"/>
  <c r="AJ36" i="19" s="1"/>
  <c r="AP32" i="19" a="1"/>
  <c r="AP32" i="19" s="1"/>
  <c r="AP33" i="19" s="1"/>
  <c r="AO32" i="19" a="1"/>
  <c r="AO32" i="19" s="1"/>
  <c r="AO33" i="19" s="1"/>
  <c r="AN32" i="19" a="1"/>
  <c r="AN32" i="19" s="1"/>
  <c r="AN33" i="19" s="1"/>
  <c r="AM32" i="19" a="1"/>
  <c r="AM32" i="19" s="1"/>
  <c r="AM33" i="19" s="1"/>
  <c r="AL32" i="19" a="1"/>
  <c r="AL32" i="19" s="1"/>
  <c r="AL33" i="19" s="1"/>
  <c r="AK32" i="19" a="1"/>
  <c r="AK32" i="19" s="1"/>
  <c r="AK33" i="19" s="1"/>
  <c r="AJ32" i="19" a="1"/>
  <c r="AJ32" i="19" s="1"/>
  <c r="AJ33" i="19" s="1"/>
  <c r="AP29" i="19" a="1"/>
  <c r="AP29" i="19" s="1"/>
  <c r="AP30" i="19" s="1"/>
  <c r="AO29" i="19" a="1"/>
  <c r="AO29" i="19" s="1"/>
  <c r="AO30" i="19" s="1"/>
  <c r="AN29" i="19" a="1"/>
  <c r="AN29" i="19" s="1"/>
  <c r="AN30" i="19" s="1"/>
  <c r="AM29" i="19" a="1"/>
  <c r="AM29" i="19" s="1"/>
  <c r="AM30" i="19" s="1"/>
  <c r="AL29" i="19" a="1"/>
  <c r="AL29" i="19" s="1"/>
  <c r="AL30" i="19" s="1"/>
  <c r="AK29" i="19" a="1"/>
  <c r="AK29" i="19" s="1"/>
  <c r="AK30" i="19" s="1"/>
  <c r="AJ29" i="19" a="1"/>
  <c r="AJ29" i="19" s="1"/>
  <c r="AJ30" i="19" s="1"/>
  <c r="AP26" i="19" a="1"/>
  <c r="AP26" i="19" s="1"/>
  <c r="AP27" i="19" s="1"/>
  <c r="AO26" i="19" a="1"/>
  <c r="AO26" i="19" s="1"/>
  <c r="AO27" i="19" s="1"/>
  <c r="AN26" i="19" a="1"/>
  <c r="AN26" i="19" s="1"/>
  <c r="AN27" i="19" s="1"/>
  <c r="AM26" i="19" a="1"/>
  <c r="AM26" i="19" s="1"/>
  <c r="AM27" i="19" s="1"/>
  <c r="AL26" i="19" a="1"/>
  <c r="AL26" i="19" s="1"/>
  <c r="AL27" i="19" s="1"/>
  <c r="AK26" i="19" a="1"/>
  <c r="AK26" i="19" s="1"/>
  <c r="AK27" i="19" s="1"/>
  <c r="AJ26" i="19" a="1"/>
  <c r="AJ26" i="19" s="1"/>
  <c r="AJ27" i="19" s="1"/>
  <c r="AP23" i="19" a="1"/>
  <c r="AP23" i="19" s="1"/>
  <c r="AP24" i="19" s="1"/>
  <c r="AO23" i="19" a="1"/>
  <c r="AO23" i="19" s="1"/>
  <c r="AO24" i="19" s="1"/>
  <c r="AN23" i="19" a="1"/>
  <c r="AN23" i="19" s="1"/>
  <c r="AN24" i="19" s="1"/>
  <c r="AM23" i="19" a="1"/>
  <c r="AM23" i="19" s="1"/>
  <c r="AM24" i="19" s="1"/>
  <c r="AL23" i="19" a="1"/>
  <c r="AL23" i="19" s="1"/>
  <c r="AL24" i="19" s="1"/>
  <c r="AK23" i="19" a="1"/>
  <c r="AK23" i="19" s="1"/>
  <c r="AK24" i="19" s="1"/>
  <c r="AJ23" i="19" a="1"/>
  <c r="AJ23" i="19" s="1"/>
  <c r="AJ24" i="19" s="1"/>
  <c r="AP20" i="19" a="1"/>
  <c r="AP20" i="19" s="1"/>
  <c r="AP21" i="19" s="1"/>
  <c r="AO20" i="19" a="1"/>
  <c r="AO20" i="19" s="1"/>
  <c r="AO21" i="19" s="1"/>
  <c r="AN20" i="19" a="1"/>
  <c r="AN20" i="19" s="1"/>
  <c r="AN21" i="19" s="1"/>
  <c r="AM20" i="19" a="1"/>
  <c r="AM20" i="19" s="1"/>
  <c r="AM21" i="19" s="1"/>
  <c r="AL20" i="19" a="1"/>
  <c r="AL20" i="19" s="1"/>
  <c r="AL21" i="19" s="1"/>
  <c r="AK20" i="19" a="1"/>
  <c r="AK20" i="19" s="1"/>
  <c r="AK21" i="19" s="1"/>
  <c r="AJ20" i="19" a="1"/>
  <c r="AJ20" i="19" s="1"/>
  <c r="AJ21" i="19" s="1"/>
  <c r="AP17" i="19" a="1"/>
  <c r="AP17" i="19" s="1"/>
  <c r="AP18" i="19" s="1"/>
  <c r="AO17" i="19" a="1"/>
  <c r="AO17" i="19" s="1"/>
  <c r="AO18" i="19" s="1"/>
  <c r="AN17" i="19" a="1"/>
  <c r="AN17" i="19" s="1"/>
  <c r="AN18" i="19" s="1"/>
  <c r="AM17" i="19" a="1"/>
  <c r="AM17" i="19" s="1"/>
  <c r="AM18" i="19" s="1"/>
  <c r="AL17" i="19" a="1"/>
  <c r="AL17" i="19" s="1"/>
  <c r="AL18" i="19" s="1"/>
  <c r="AK17" i="19" a="1"/>
  <c r="AK17" i="19" s="1"/>
  <c r="AK18" i="19" s="1"/>
  <c r="AJ17" i="19" a="1"/>
  <c r="AJ17" i="19" s="1"/>
  <c r="AJ18" i="19" s="1"/>
  <c r="AP14" i="19" a="1"/>
  <c r="AP14" i="19" s="1"/>
  <c r="AP15" i="19" s="1"/>
  <c r="AO14" i="19" a="1"/>
  <c r="AO14" i="19" s="1"/>
  <c r="AO15" i="19" s="1"/>
  <c r="AN14" i="19" a="1"/>
  <c r="AN14" i="19" s="1"/>
  <c r="AN15" i="19" s="1"/>
  <c r="AM14" i="19" a="1"/>
  <c r="AM14" i="19" s="1"/>
  <c r="AM15" i="19" s="1"/>
  <c r="AL14" i="19" a="1"/>
  <c r="AL14" i="19" s="1"/>
  <c r="AL15" i="19" s="1"/>
  <c r="AK14" i="19" a="1"/>
  <c r="AK14" i="19" s="1"/>
  <c r="AK15" i="19" s="1"/>
  <c r="AJ14" i="19" a="1"/>
  <c r="AJ14" i="19" s="1"/>
  <c r="AJ15" i="19" s="1"/>
  <c r="AP11" i="19" a="1"/>
  <c r="AP11" i="19" s="1"/>
  <c r="AP12" i="19" s="1"/>
  <c r="AO11" i="19" a="1"/>
  <c r="AO11" i="19" s="1"/>
  <c r="AO12" i="19" s="1"/>
  <c r="AN11" i="19" a="1"/>
  <c r="AN11" i="19" s="1"/>
  <c r="AN12" i="19" s="1"/>
  <c r="AM11" i="19" a="1"/>
  <c r="AM11" i="19" s="1"/>
  <c r="AM12" i="19" s="1"/>
  <c r="AL11" i="19" a="1"/>
  <c r="AL11" i="19" s="1"/>
  <c r="AL12" i="19" s="1"/>
  <c r="AK11" i="19" a="1"/>
  <c r="AK11" i="19" s="1"/>
  <c r="AK12" i="19" s="1"/>
  <c r="AJ11" i="19" a="1"/>
  <c r="AJ11" i="19" s="1"/>
  <c r="AJ12" i="19" s="1"/>
  <c r="AI67" i="19"/>
  <c r="AI64" i="19"/>
  <c r="AI61" i="19"/>
  <c r="AI58" i="19"/>
  <c r="AI55" i="19"/>
  <c r="AI52" i="19"/>
  <c r="AI49" i="19"/>
  <c r="AI46" i="19"/>
  <c r="AI43" i="19"/>
  <c r="AI40" i="19"/>
  <c r="AI37" i="19"/>
  <c r="AI34" i="19"/>
  <c r="AI31" i="19"/>
  <c r="C28" i="19"/>
  <c r="C27" i="19"/>
  <c r="C26" i="19"/>
  <c r="C25" i="19"/>
  <c r="C24" i="19"/>
  <c r="C23" i="19"/>
  <c r="C22" i="19"/>
  <c r="C21" i="19"/>
  <c r="C20" i="19"/>
  <c r="C19" i="19"/>
  <c r="C18" i="19"/>
  <c r="C17" i="19"/>
  <c r="C16" i="19"/>
  <c r="F35" i="24"/>
  <c r="F33" i="24"/>
  <c r="F5" i="24"/>
  <c r="G5" i="20"/>
  <c r="D26" i="23"/>
  <c r="C25" i="27" l="1"/>
  <c r="E25" i="27" s="1"/>
  <c r="D17" i="25" a="1"/>
  <c r="D17" i="25" s="1"/>
  <c r="J19" i="25" a="1"/>
  <c r="J19" i="25" s="1"/>
  <c r="J12" i="25" a="1"/>
  <c r="J12" i="25" s="1"/>
  <c r="F22" i="20"/>
  <c r="J15" i="25" a="1"/>
  <c r="J15" i="25" s="1"/>
  <c r="P15" i="25" s="1"/>
  <c r="J16" i="25" a="1"/>
  <c r="J16" i="25" s="1"/>
  <c r="J14" i="25" a="1"/>
  <c r="J14" i="25" s="1"/>
  <c r="P14" i="25" s="1"/>
  <c r="F28" i="34"/>
  <c r="J23" i="25" s="1" a="1"/>
  <c r="J23" i="25" s="1"/>
  <c r="F69" i="34"/>
  <c r="F58" i="34"/>
  <c r="AS117" i="19"/>
  <c r="F132" i="34"/>
  <c r="F111" i="34"/>
  <c r="E123" i="34"/>
  <c r="P53" i="25"/>
  <c r="E138" i="10"/>
  <c r="E22" i="24"/>
  <c r="P50" i="25"/>
  <c r="J8" i="25" a="1"/>
  <c r="J8" i="25" s="1"/>
  <c r="F88" i="32"/>
  <c r="E89" i="34" s="1"/>
  <c r="F90" i="34"/>
  <c r="D45" i="35" s="1" a="1"/>
  <c r="D45" i="35" s="1"/>
  <c r="P47" i="25"/>
  <c r="P44" i="25"/>
  <c r="P46" i="25"/>
  <c r="P17" i="25"/>
  <c r="P32" i="25"/>
  <c r="P12" i="25"/>
  <c r="P13" i="25"/>
  <c r="P34" i="25"/>
  <c r="P42" i="25"/>
  <c r="F155" i="10"/>
  <c r="D24" i="25" s="1"/>
  <c r="G88" i="32"/>
  <c r="D8" i="35" a="1"/>
  <c r="D8" i="35" s="1"/>
  <c r="H88" i="32"/>
  <c r="E47" i="34"/>
  <c r="F63" i="34"/>
  <c r="E62" i="34" s="1"/>
  <c r="H21" i="32"/>
  <c r="E22" i="32" s="1"/>
  <c r="AR99" i="19"/>
  <c r="AS99" i="19" s="1"/>
  <c r="AU99" i="19" s="1"/>
  <c r="AR105" i="19"/>
  <c r="AS105" i="19" s="1"/>
  <c r="AU105" i="19" s="1"/>
  <c r="AR108" i="19"/>
  <c r="AS108" i="19" s="1"/>
  <c r="AU108" i="19" s="1"/>
  <c r="AR114" i="19"/>
  <c r="AS114" i="19" s="1"/>
  <c r="AU114" i="19" s="1"/>
  <c r="AR96" i="19"/>
  <c r="AR102" i="19"/>
  <c r="AS102" i="19" s="1"/>
  <c r="AU102" i="19" s="1"/>
  <c r="H14" i="32"/>
  <c r="F9" i="34" s="1"/>
  <c r="AR87" i="19"/>
  <c r="AS87" i="19" s="1"/>
  <c r="AU87" i="19" s="1"/>
  <c r="AR84" i="19"/>
  <c r="AS84" i="19" s="1"/>
  <c r="AU84" i="19" s="1"/>
  <c r="AR75" i="19"/>
  <c r="AR81" i="19"/>
  <c r="AS81" i="19" s="1"/>
  <c r="AU81" i="19" s="1"/>
  <c r="AR78" i="19"/>
  <c r="AS78" i="19" s="1"/>
  <c r="AU78" i="19" s="1"/>
  <c r="P22" i="32"/>
  <c r="N23" i="32" s="1"/>
  <c r="AQ30" i="19"/>
  <c r="AQ42" i="19"/>
  <c r="AR42" i="19" s="1"/>
  <c r="AS42" i="19" s="1"/>
  <c r="AU42" i="19" s="1"/>
  <c r="AQ18" i="19"/>
  <c r="AQ54" i="19"/>
  <c r="AR54" i="19" s="1"/>
  <c r="AS54" i="19" s="1"/>
  <c r="AU54" i="19" s="1"/>
  <c r="AQ66" i="19"/>
  <c r="AR66" i="19" s="1"/>
  <c r="AS66" i="19" s="1"/>
  <c r="AU66" i="19" s="1"/>
  <c r="AQ12" i="19"/>
  <c r="F24" i="10" s="1"/>
  <c r="AQ15" i="19"/>
  <c r="F43" i="10" s="1"/>
  <c r="AQ24" i="19"/>
  <c r="AQ27" i="19"/>
  <c r="AQ36" i="19"/>
  <c r="AR36" i="19" s="1"/>
  <c r="AS36" i="19" s="1"/>
  <c r="AU36" i="19" s="1"/>
  <c r="AQ39" i="19"/>
  <c r="AQ48" i="19"/>
  <c r="AQ51" i="19"/>
  <c r="AR51" i="19" s="1"/>
  <c r="AS51" i="19" s="1"/>
  <c r="AU51" i="19" s="1"/>
  <c r="AQ60" i="19"/>
  <c r="AR60" i="19" s="1"/>
  <c r="AS60" i="19" s="1"/>
  <c r="AU60" i="19" s="1"/>
  <c r="AQ63" i="19"/>
  <c r="AR63" i="19" s="1"/>
  <c r="AS63" i="19" s="1"/>
  <c r="AU63" i="19" s="1"/>
  <c r="AQ21" i="19"/>
  <c r="AQ33" i="19"/>
  <c r="AQ45" i="19"/>
  <c r="AR45" i="19" s="1"/>
  <c r="AS45" i="19" s="1"/>
  <c r="AU45" i="19" s="1"/>
  <c r="AQ57" i="19"/>
  <c r="AR57" i="19" s="1"/>
  <c r="AS57" i="19" s="1"/>
  <c r="AU57" i="19" s="1"/>
  <c r="AQ69" i="19"/>
  <c r="C28" i="27"/>
  <c r="E28" i="27"/>
  <c r="AQ35" i="19"/>
  <c r="AQ47" i="19"/>
  <c r="AQ59" i="19"/>
  <c r="AQ53" i="19"/>
  <c r="AQ32" i="19"/>
  <c r="AQ44" i="19"/>
  <c r="AQ56" i="19"/>
  <c r="AQ41" i="19"/>
  <c r="AQ20" i="19"/>
  <c r="AQ38" i="19"/>
  <c r="AQ50" i="19"/>
  <c r="AQ65" i="19"/>
  <c r="AQ62" i="19"/>
  <c r="AQ68" i="19"/>
  <c r="E50" i="10"/>
  <c r="D16" i="25" s="1" a="1"/>
  <c r="D16" i="25" s="1"/>
  <c r="AI28" i="19"/>
  <c r="AQ29" i="19"/>
  <c r="AQ28" i="19"/>
  <c r="AQ25" i="19"/>
  <c r="AI25" i="19"/>
  <c r="AI22" i="19"/>
  <c r="AI19" i="19"/>
  <c r="AQ26" i="19"/>
  <c r="AQ23" i="19"/>
  <c r="AQ22" i="19"/>
  <c r="AQ19" i="19"/>
  <c r="C15" i="19"/>
  <c r="C14" i="19"/>
  <c r="C13" i="19"/>
  <c r="C12" i="19"/>
  <c r="AI16" i="19"/>
  <c r="AI13" i="19"/>
  <c r="AQ10" i="19"/>
  <c r="AQ11" i="19"/>
  <c r="AI10" i="19"/>
  <c r="C11" i="19"/>
  <c r="X31" i="19"/>
  <c r="AQ17" i="19"/>
  <c r="AQ16" i="19"/>
  <c r="AQ14" i="19"/>
  <c r="AQ13" i="19"/>
  <c r="C10" i="19"/>
  <c r="C9" i="19"/>
  <c r="C8" i="19"/>
  <c r="B36" i="16"/>
  <c r="B35" i="16"/>
  <c r="B34" i="16"/>
  <c r="B33" i="16"/>
  <c r="B32" i="16"/>
  <c r="B31" i="16"/>
  <c r="B30" i="16"/>
  <c r="B29" i="16"/>
  <c r="B28" i="16"/>
  <c r="B27" i="16"/>
  <c r="N170" i="19"/>
  <c r="O169" i="19"/>
  <c r="O168" i="19"/>
  <c r="O167" i="19"/>
  <c r="O166" i="19"/>
  <c r="O165" i="19"/>
  <c r="O164" i="19"/>
  <c r="O163" i="19"/>
  <c r="B26" i="16"/>
  <c r="B25" i="16"/>
  <c r="B24" i="16"/>
  <c r="B23" i="16"/>
  <c r="B22" i="16"/>
  <c r="B21" i="16"/>
  <c r="B20" i="16"/>
  <c r="B19" i="16"/>
  <c r="B18" i="16"/>
  <c r="B17" i="16"/>
  <c r="X29" i="19"/>
  <c r="X30" i="19"/>
  <c r="B16" i="16"/>
  <c r="B15" i="16"/>
  <c r="B14" i="16"/>
  <c r="B12" i="16"/>
  <c r="B13" i="16"/>
  <c r="B8" i="16"/>
  <c r="B9" i="16"/>
  <c r="B10" i="16"/>
  <c r="B11" i="16"/>
  <c r="B6" i="15"/>
  <c r="B7" i="15" s="1"/>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B43" i="15" s="1"/>
  <c r="B44" i="15" s="1"/>
  <c r="B45" i="15" s="1"/>
  <c r="B46" i="15" s="1"/>
  <c r="B47" i="15" s="1"/>
  <c r="B48" i="15" s="1"/>
  <c r="B49" i="15" s="1"/>
  <c r="B50" i="15" s="1"/>
  <c r="B51" i="15" s="1"/>
  <c r="B52" i="15" s="1"/>
  <c r="B53" i="15" s="1"/>
  <c r="B54" i="15" s="1"/>
  <c r="B55" i="15" s="1"/>
  <c r="B56" i="15" s="1"/>
  <c r="B57" i="15" s="1"/>
  <c r="B58" i="15" s="1"/>
  <c r="B59" i="15" s="1"/>
  <c r="B60" i="15" s="1"/>
  <c r="B61" i="15" s="1"/>
  <c r="B62" i="15" s="1"/>
  <c r="A1" i="16"/>
  <c r="B7" i="16"/>
  <c r="B6" i="16"/>
  <c r="P16" i="25" l="1"/>
  <c r="D53" i="35" a="1"/>
  <c r="D53" i="35" s="1"/>
  <c r="P40" i="25"/>
  <c r="P43" i="25"/>
  <c r="AU117" i="19"/>
  <c r="E130" i="34"/>
  <c r="E128" i="34"/>
  <c r="F129" i="34" s="1"/>
  <c r="E109" i="34"/>
  <c r="E118" i="34" s="1"/>
  <c r="D50" i="35" s="1" a="1"/>
  <c r="D50" i="35" s="1"/>
  <c r="F124" i="34"/>
  <c r="J30" i="25" a="1"/>
  <c r="J30" i="25" s="1"/>
  <c r="F139" i="10"/>
  <c r="F51" i="10"/>
  <c r="D8" i="25" s="1" a="1"/>
  <c r="D8" i="25" s="1"/>
  <c r="E89" i="32"/>
  <c r="F10" i="34"/>
  <c r="J29" i="25" s="1" a="1"/>
  <c r="J29" i="25" s="1"/>
  <c r="J28" i="25" a="1"/>
  <c r="J28" i="25" s="1"/>
  <c r="D13" i="20"/>
  <c r="AR33" i="19"/>
  <c r="F78" i="10"/>
  <c r="AR69" i="19"/>
  <c r="F62" i="10"/>
  <c r="AR48" i="19"/>
  <c r="F116" i="10"/>
  <c r="AR39" i="19"/>
  <c r="F98" i="10" s="1"/>
  <c r="F97" i="10"/>
  <c r="E38" i="34"/>
  <c r="F22" i="32"/>
  <c r="E39" i="34" s="1"/>
  <c r="F24" i="20"/>
  <c r="AS96" i="19"/>
  <c r="F59" i="34"/>
  <c r="AS75" i="19"/>
  <c r="F29" i="34"/>
  <c r="J20" i="25" s="1" a="1"/>
  <c r="J20" i="25" s="1"/>
  <c r="E48" i="34"/>
  <c r="D21" i="35" s="1" a="1"/>
  <c r="D21" i="35" s="1"/>
  <c r="D11" i="35" a="1"/>
  <c r="D11" i="35" s="1"/>
  <c r="G21" i="32"/>
  <c r="G22" i="32" s="1"/>
  <c r="K163" i="19" a="1"/>
  <c r="K163" i="19" s="1"/>
  <c r="X22" i="19"/>
  <c r="X21" i="19"/>
  <c r="X20" i="19"/>
  <c r="X26" i="19"/>
  <c r="X24" i="19"/>
  <c r="X23" i="19"/>
  <c r="X25" i="19"/>
  <c r="O23" i="32"/>
  <c r="P23" i="32" s="1"/>
  <c r="N24" i="32" s="1"/>
  <c r="O24" i="32" s="1"/>
  <c r="P24" i="32" s="1"/>
  <c r="N25" i="32" s="1"/>
  <c r="V160" i="19"/>
  <c r="X27" i="19"/>
  <c r="T160" i="19"/>
  <c r="S160" i="19"/>
  <c r="R160" i="19"/>
  <c r="Q160" i="19"/>
  <c r="AR21" i="19"/>
  <c r="AR24" i="19"/>
  <c r="AS24" i="19" s="1"/>
  <c r="AU24" i="19" s="1"/>
  <c r="C17" i="27" s="1"/>
  <c r="AR27" i="19"/>
  <c r="AS27" i="19" s="1"/>
  <c r="AU27" i="19" s="1"/>
  <c r="C18" i="27" s="1"/>
  <c r="AR30" i="19"/>
  <c r="AS30" i="19" s="1"/>
  <c r="AU30" i="19" s="1"/>
  <c r="C19" i="27" s="1"/>
  <c r="AR18" i="19"/>
  <c r="AR15" i="19"/>
  <c r="AR12" i="19"/>
  <c r="O170" i="19"/>
  <c r="F89" i="32" l="1"/>
  <c r="E144" i="34" s="1"/>
  <c r="F145" i="34"/>
  <c r="F119" i="34"/>
  <c r="D51" i="35" a="1"/>
  <c r="D51" i="35" s="1"/>
  <c r="E15" i="24"/>
  <c r="J25" i="25" a="1"/>
  <c r="J25" i="25" s="1"/>
  <c r="J26" i="25" a="1"/>
  <c r="J26" i="25" s="1"/>
  <c r="E96" i="10"/>
  <c r="F13" i="20"/>
  <c r="P8" i="25"/>
  <c r="F26" i="20"/>
  <c r="G89" i="32"/>
  <c r="H89" i="32"/>
  <c r="E90" i="32" s="1"/>
  <c r="F90" i="32" s="1"/>
  <c r="J27" i="25" a="1"/>
  <c r="J27" i="25" s="1"/>
  <c r="J24" i="25" a="1"/>
  <c r="J24" i="25" s="1"/>
  <c r="P19" i="25"/>
  <c r="F121" i="10"/>
  <c r="E120" i="10" s="1"/>
  <c r="AS39" i="19"/>
  <c r="AU39" i="19" s="1"/>
  <c r="AS15" i="19"/>
  <c r="AU15" i="19" s="1"/>
  <c r="F44" i="10"/>
  <c r="AS21" i="19"/>
  <c r="AU21" i="19" s="1"/>
  <c r="F63" i="10"/>
  <c r="E61" i="10" s="1"/>
  <c r="F72" i="34"/>
  <c r="E68" i="34"/>
  <c r="AS69" i="19"/>
  <c r="AU69" i="19" s="1"/>
  <c r="AS12" i="19"/>
  <c r="F25" i="10"/>
  <c r="AS48" i="19"/>
  <c r="AU48" i="19" s="1"/>
  <c r="F117" i="10"/>
  <c r="E115" i="10" s="1"/>
  <c r="AS33" i="19"/>
  <c r="AU33" i="19" s="1"/>
  <c r="F79" i="10"/>
  <c r="E77" i="10" s="1"/>
  <c r="H90" i="32"/>
  <c r="E91" i="32" s="1"/>
  <c r="AU75" i="19"/>
  <c r="E27" i="34"/>
  <c r="AU96" i="19"/>
  <c r="E57" i="34"/>
  <c r="F49" i="34"/>
  <c r="D24" i="35" s="1" a="1"/>
  <c r="D24" i="35" s="1"/>
  <c r="D29" i="20" s="1"/>
  <c r="H22" i="32"/>
  <c r="E23" i="32" s="1"/>
  <c r="E85" i="34" s="1"/>
  <c r="L160" i="19"/>
  <c r="X9" i="19"/>
  <c r="X14" i="19"/>
  <c r="X13" i="19"/>
  <c r="X12" i="19"/>
  <c r="X11" i="19"/>
  <c r="O25" i="32"/>
  <c r="P25" i="32" s="1"/>
  <c r="N26" i="32" s="1"/>
  <c r="C14" i="27"/>
  <c r="P160" i="19"/>
  <c r="AO72" i="19"/>
  <c r="AP72" i="19"/>
  <c r="AK72" i="19"/>
  <c r="AN72" i="19"/>
  <c r="AM72" i="19"/>
  <c r="AL72" i="19"/>
  <c r="X28" i="19"/>
  <c r="F145" i="10" s="1"/>
  <c r="E144" i="10" s="1"/>
  <c r="X10" i="19"/>
  <c r="AS18" i="19"/>
  <c r="AU18" i="19" s="1"/>
  <c r="G90" i="32" l="1"/>
  <c r="J10" i="25" a="1"/>
  <c r="J10" i="25" s="1"/>
  <c r="J9" i="25" a="1"/>
  <c r="J9" i="25" s="1"/>
  <c r="D25" i="35" a="1"/>
  <c r="D25" i="35" s="1"/>
  <c r="D22" i="35" a="1"/>
  <c r="D22" i="35" s="1"/>
  <c r="D23" i="35" a="1"/>
  <c r="D23" i="35" s="1"/>
  <c r="D28" i="20" s="1"/>
  <c r="K19" i="25" a="1"/>
  <c r="K19" i="25" s="1"/>
  <c r="K32" i="25" a="1"/>
  <c r="K32" i="25" s="1"/>
  <c r="L32" i="25" s="1"/>
  <c r="AU12" i="19"/>
  <c r="C13" i="27" s="1"/>
  <c r="E23" i="10"/>
  <c r="C16" i="27"/>
  <c r="E71" i="34"/>
  <c r="D10" i="35" s="1" a="1"/>
  <c r="D10" i="35" s="1"/>
  <c r="F91" i="32"/>
  <c r="G91" i="32" s="1"/>
  <c r="F67" i="10"/>
  <c r="E66" i="10" s="1"/>
  <c r="F48" i="10"/>
  <c r="E47" i="10" s="1"/>
  <c r="F70" i="34"/>
  <c r="D20" i="35" a="1"/>
  <c r="D20" i="35" s="1"/>
  <c r="F23" i="32"/>
  <c r="H23" i="32" s="1"/>
  <c r="E24" i="32" s="1"/>
  <c r="E140" i="34" s="1"/>
  <c r="O26" i="32"/>
  <c r="P26" i="32" s="1"/>
  <c r="N27" i="32" s="1"/>
  <c r="AJ72" i="19"/>
  <c r="X8" i="19"/>
  <c r="F29" i="10" s="1"/>
  <c r="G23" i="32" l="1"/>
  <c r="E86" i="34"/>
  <c r="K36" i="25" a="1"/>
  <c r="K36" i="25" s="1"/>
  <c r="D9" i="25" a="1"/>
  <c r="D9" i="25" s="1"/>
  <c r="P9" i="25" s="1"/>
  <c r="K27" i="25" a="1"/>
  <c r="K27" i="25" s="1"/>
  <c r="L27" i="25" s="1"/>
  <c r="L33" i="25" s="1"/>
  <c r="K49" i="25" a="1"/>
  <c r="K49" i="25" s="1"/>
  <c r="F14" i="20"/>
  <c r="D15" i="20"/>
  <c r="H91" i="32"/>
  <c r="E92" i="32" s="1"/>
  <c r="E28" i="10"/>
  <c r="F24" i="32"/>
  <c r="X16" i="19"/>
  <c r="X15" i="19"/>
  <c r="O27" i="32"/>
  <c r="P27" i="32" s="1"/>
  <c r="N28" i="32" s="1"/>
  <c r="AQ72" i="19"/>
  <c r="X18" i="19"/>
  <c r="X19" i="19"/>
  <c r="X17" i="19"/>
  <c r="G24" i="32" l="1"/>
  <c r="E141" i="34"/>
  <c r="F15" i="20"/>
  <c r="AR72" i="19"/>
  <c r="F133" i="10"/>
  <c r="E158" i="10" s="1"/>
  <c r="D23" i="25" s="1"/>
  <c r="H24" i="32"/>
  <c r="F92" i="32"/>
  <c r="G92" i="32" s="1"/>
  <c r="F83" i="10"/>
  <c r="D10" i="25" s="1" a="1"/>
  <c r="D10" i="25" s="1"/>
  <c r="P10" i="25" s="1"/>
  <c r="F102" i="10"/>
  <c r="O28" i="32"/>
  <c r="P28" i="32" s="1"/>
  <c r="N29" i="32" s="1"/>
  <c r="X159" i="19"/>
  <c r="P23" i="25" l="1"/>
  <c r="E23" i="24"/>
  <c r="P41" i="25"/>
  <c r="P38" i="25"/>
  <c r="E140" i="10"/>
  <c r="P39" i="25"/>
  <c r="E21" i="24"/>
  <c r="E82" i="10"/>
  <c r="D11" i="25" a="1"/>
  <c r="D11" i="25" s="1"/>
  <c r="F18" i="20" s="1"/>
  <c r="E25" i="32"/>
  <c r="F25" i="32" s="1"/>
  <c r="AS72" i="19"/>
  <c r="AU72" i="19" s="1"/>
  <c r="C15" i="27" s="1"/>
  <c r="C20" i="27" s="1"/>
  <c r="F134" i="10"/>
  <c r="D20" i="25" s="1" a="1"/>
  <c r="D20" i="25" s="1"/>
  <c r="F159" i="10"/>
  <c r="H92" i="32"/>
  <c r="E93" i="32" s="1"/>
  <c r="E101" i="10"/>
  <c r="O29" i="32"/>
  <c r="P29" i="32" s="1"/>
  <c r="N30" i="32" s="1"/>
  <c r="F25" i="20" l="1"/>
  <c r="P20" i="25"/>
  <c r="F41" i="20"/>
  <c r="F157" i="10"/>
  <c r="D30" i="25" s="1"/>
  <c r="F141" i="10"/>
  <c r="P54" i="25"/>
  <c r="F153" i="10"/>
  <c r="H25" i="32"/>
  <c r="G25" i="32"/>
  <c r="P33" i="25"/>
  <c r="F16" i="20"/>
  <c r="P11" i="25"/>
  <c r="F93" i="32"/>
  <c r="G93" i="32" s="1"/>
  <c r="O30" i="32"/>
  <c r="P30" i="32" s="1"/>
  <c r="N31" i="32" s="1"/>
  <c r="E150" i="10" l="1"/>
  <c r="E160" i="10" s="1"/>
  <c r="D29" i="25"/>
  <c r="P24" i="25"/>
  <c r="D18" i="25" a="1"/>
  <c r="D18" i="25" s="1"/>
  <c r="F40" i="20"/>
  <c r="P52" i="25"/>
  <c r="P26" i="25"/>
  <c r="F37" i="20"/>
  <c r="E29" i="24"/>
  <c r="E26" i="32"/>
  <c r="F26" i="32" s="1"/>
  <c r="P45" i="25"/>
  <c r="E27" i="24"/>
  <c r="H93" i="32"/>
  <c r="O31" i="32"/>
  <c r="P31" i="32" s="1"/>
  <c r="N32" i="32" s="1"/>
  <c r="F35" i="20" l="1"/>
  <c r="F34" i="20"/>
  <c r="D31" i="25" a="1"/>
  <c r="D31" i="25" s="1"/>
  <c r="E32" i="24" s="1"/>
  <c r="F161" i="10"/>
  <c r="G17" i="17" s="1" a="1"/>
  <c r="G17" i="17" s="1"/>
  <c r="P29" i="25"/>
  <c r="E28" i="24"/>
  <c r="D22" i="25" a="1"/>
  <c r="D22" i="25" s="1"/>
  <c r="F53" i="20" s="1"/>
  <c r="D21" i="25" a="1"/>
  <c r="D21" i="25" s="1"/>
  <c r="F36" i="20" s="1"/>
  <c r="F42" i="20"/>
  <c r="F23" i="20"/>
  <c r="P18" i="25"/>
  <c r="P25" i="25"/>
  <c r="P55" i="25"/>
  <c r="P51" i="25"/>
  <c r="P36" i="25"/>
  <c r="E14" i="24"/>
  <c r="H26" i="32"/>
  <c r="G26" i="32"/>
  <c r="E94" i="32"/>
  <c r="F94" i="32" s="1"/>
  <c r="F162" i="10"/>
  <c r="O32" i="32"/>
  <c r="P32" i="32" s="1"/>
  <c r="N33" i="32" s="1"/>
  <c r="P31" i="25" l="1"/>
  <c r="P21" i="25"/>
  <c r="F49" i="20"/>
  <c r="F55" i="20" s="1"/>
  <c r="E24" i="24"/>
  <c r="E26" i="24"/>
  <c r="E16" i="24"/>
  <c r="P37" i="25"/>
  <c r="P35" i="25"/>
  <c r="E13" i="24"/>
  <c r="E27" i="32"/>
  <c r="F27" i="32" s="1"/>
  <c r="G94" i="32"/>
  <c r="H94" i="32"/>
  <c r="P49" i="25"/>
  <c r="E31" i="24"/>
  <c r="P30" i="25"/>
  <c r="O33" i="32"/>
  <c r="P33" i="32" s="1"/>
  <c r="N34" i="32" s="1"/>
  <c r="E18" i="24" l="1"/>
  <c r="E35" i="24"/>
  <c r="H27" i="32"/>
  <c r="G27" i="32"/>
  <c r="E95" i="32"/>
  <c r="F95" i="32" s="1"/>
  <c r="O34" i="32"/>
  <c r="P34" i="32" s="1"/>
  <c r="N35" i="32" s="1"/>
  <c r="E28" i="32" l="1"/>
  <c r="F28" i="32" s="1"/>
  <c r="G95" i="32"/>
  <c r="H95" i="32"/>
  <c r="E96" i="32" s="1"/>
  <c r="F96" i="32"/>
  <c r="H96" i="32" s="1"/>
  <c r="E97" i="32" s="1"/>
  <c r="O35" i="32"/>
  <c r="P35" i="32" s="1"/>
  <c r="N36" i="32" s="1"/>
  <c r="G28" i="32" l="1"/>
  <c r="H28" i="32"/>
  <c r="G96" i="32"/>
  <c r="O36" i="32"/>
  <c r="P36" i="32" s="1"/>
  <c r="N37" i="32" s="1"/>
  <c r="E29" i="32" l="1"/>
  <c r="F29" i="32" s="1"/>
  <c r="F97" i="32"/>
  <c r="H97" i="32" s="1"/>
  <c r="E98" i="32" s="1"/>
  <c r="O37" i="32"/>
  <c r="P37" i="32" s="1"/>
  <c r="N38" i="32" s="1"/>
  <c r="H29" i="32" l="1"/>
  <c r="G29" i="32"/>
  <c r="G97" i="32"/>
  <c r="O38" i="32"/>
  <c r="P38" i="32" s="1"/>
  <c r="N39" i="32" s="1"/>
  <c r="E30" i="32" l="1"/>
  <c r="F30" i="32" s="1"/>
  <c r="F98" i="32"/>
  <c r="H98" i="32" s="1"/>
  <c r="E99" i="32" s="1"/>
  <c r="O39" i="32"/>
  <c r="P39" i="32" s="1"/>
  <c r="N40" i="32" s="1"/>
  <c r="G30" i="32" l="1"/>
  <c r="H30" i="32"/>
  <c r="G98" i="32"/>
  <c r="O40" i="32"/>
  <c r="P40" i="32" s="1"/>
  <c r="N41" i="32" s="1"/>
  <c r="E31" i="32" l="1"/>
  <c r="F31" i="32" s="1"/>
  <c r="G31" i="32" s="1"/>
  <c r="F99" i="32"/>
  <c r="H99" i="32" s="1"/>
  <c r="E100" i="32" s="1"/>
  <c r="O41" i="32"/>
  <c r="P41" i="32" s="1"/>
  <c r="N42" i="32" s="1"/>
  <c r="H31" i="32" l="1"/>
  <c r="G99" i="32"/>
  <c r="O42" i="32"/>
  <c r="P42" i="32" s="1"/>
  <c r="N43" i="32" s="1"/>
  <c r="E32" i="32" l="1"/>
  <c r="F32" i="32" s="1"/>
  <c r="G32" i="32" s="1"/>
  <c r="F100" i="32"/>
  <c r="H100" i="32" s="1"/>
  <c r="E101" i="32" s="1"/>
  <c r="O43" i="32"/>
  <c r="P43" i="32" s="1"/>
  <c r="N44" i="32" s="1"/>
  <c r="H32" i="32" l="1"/>
  <c r="G100" i="32"/>
  <c r="O44" i="32"/>
  <c r="P44" i="32" s="1"/>
  <c r="N45" i="32" s="1"/>
  <c r="E33" i="32" l="1"/>
  <c r="F33" i="32" s="1"/>
  <c r="F101" i="32"/>
  <c r="H101" i="32" s="1"/>
  <c r="E102" i="32" s="1"/>
  <c r="O45" i="32"/>
  <c r="P45" i="32" s="1"/>
  <c r="G33" i="32" l="1"/>
  <c r="H33" i="32"/>
  <c r="G101" i="32"/>
  <c r="N46" i="32"/>
  <c r="O46" i="32" s="1"/>
  <c r="P46" i="32" s="1"/>
  <c r="N47" i="32" s="1"/>
  <c r="E34" i="32" l="1"/>
  <c r="F34" i="32" s="1"/>
  <c r="G34" i="32" s="1"/>
  <c r="F102" i="32"/>
  <c r="H102" i="32" s="1"/>
  <c r="E103" i="32" s="1"/>
  <c r="O47" i="32"/>
  <c r="P47" i="32" s="1"/>
  <c r="N48" i="32" s="1"/>
  <c r="H34" i="32" l="1"/>
  <c r="G102" i="32"/>
  <c r="O48" i="32"/>
  <c r="P48" i="32" s="1"/>
  <c r="N49" i="32" s="1"/>
  <c r="E35" i="32" l="1"/>
  <c r="F35" i="32" s="1"/>
  <c r="F103" i="32"/>
  <c r="H103" i="32" s="1"/>
  <c r="E104" i="32" s="1"/>
  <c r="O49" i="32"/>
  <c r="P49" i="32" s="1"/>
  <c r="N50" i="32" s="1"/>
  <c r="G35" i="32" l="1"/>
  <c r="H35" i="32"/>
  <c r="G103" i="32"/>
  <c r="O50" i="32"/>
  <c r="P50" i="32" s="1"/>
  <c r="N51" i="32" s="1"/>
  <c r="E36" i="32" l="1"/>
  <c r="F36" i="32" s="1"/>
  <c r="G36" i="32" s="1"/>
  <c r="F104" i="32"/>
  <c r="H104" i="32" s="1"/>
  <c r="E105" i="32" s="1"/>
  <c r="O51" i="32"/>
  <c r="P51" i="32" s="1"/>
  <c r="N52" i="32" s="1"/>
  <c r="H36" i="32" l="1"/>
  <c r="F39" i="20"/>
  <c r="E92" i="34"/>
  <c r="G104" i="32"/>
  <c r="O52" i="32"/>
  <c r="E91" i="34" s="1"/>
  <c r="D55" i="35" l="1" a="1"/>
  <c r="D55" i="35" s="1"/>
  <c r="E37" i="32"/>
  <c r="F37" i="32" s="1"/>
  <c r="P28" i="25"/>
  <c r="F105" i="32"/>
  <c r="H105" i="32" s="1"/>
  <c r="E106" i="32" s="1"/>
  <c r="P52" i="32"/>
  <c r="N53" i="32" s="1"/>
  <c r="O53" i="32" l="1"/>
  <c r="E147" i="34"/>
  <c r="G37" i="32"/>
  <c r="H37" i="32"/>
  <c r="G105" i="32"/>
  <c r="P53" i="32" l="1"/>
  <c r="N54" i="32" s="1"/>
  <c r="O54" i="32" s="1"/>
  <c r="P54" i="32" s="1"/>
  <c r="N55" i="32" s="1"/>
  <c r="E146" i="34"/>
  <c r="D54" i="35" s="1" a="1"/>
  <c r="D54" i="35" s="1"/>
  <c r="E38" i="32"/>
  <c r="F38" i="32" s="1"/>
  <c r="F106" i="32"/>
  <c r="H106" i="32" s="1"/>
  <c r="E107" i="32" s="1"/>
  <c r="O55" i="32"/>
  <c r="P55" i="32" s="1"/>
  <c r="N56" i="32" s="1"/>
  <c r="G38" i="32" l="1"/>
  <c r="H38" i="32"/>
  <c r="G106" i="32"/>
  <c r="O56" i="32"/>
  <c r="P56" i="32" s="1"/>
  <c r="N57" i="32" s="1"/>
  <c r="E39" i="32" l="1"/>
  <c r="F39" i="32" s="1"/>
  <c r="G39" i="32" s="1"/>
  <c r="F107" i="32"/>
  <c r="O57" i="32"/>
  <c r="P57" i="32" s="1"/>
  <c r="H39" i="32" l="1"/>
  <c r="H107" i="32"/>
  <c r="G107" i="32"/>
  <c r="E40" i="32" l="1"/>
  <c r="F40" i="32" s="1"/>
  <c r="E108" i="32"/>
  <c r="F108" i="32" s="1"/>
  <c r="G40" i="32" l="1"/>
  <c r="H40" i="32"/>
  <c r="H108" i="32"/>
  <c r="E109" i="32" s="1"/>
  <c r="F109" i="32" s="1"/>
  <c r="H109" i="32" s="1"/>
  <c r="E110" i="32" s="1"/>
  <c r="G108" i="32"/>
  <c r="E41" i="32" l="1"/>
  <c r="F41" i="32" s="1"/>
  <c r="G41" i="32" s="1"/>
  <c r="G109" i="32"/>
  <c r="H41" i="32" l="1"/>
  <c r="E42" i="32"/>
  <c r="F42" i="32" s="1"/>
  <c r="D17" i="20"/>
  <c r="D18" i="20"/>
  <c r="F110" i="32"/>
  <c r="H110" i="32" s="1"/>
  <c r="E111" i="32" s="1"/>
  <c r="C27" i="24" l="1"/>
  <c r="C26" i="24"/>
  <c r="G42" i="32"/>
  <c r="H42" i="32"/>
  <c r="D26" i="35" a="1"/>
  <c r="D26" i="35" s="1"/>
  <c r="D19" i="20" s="1"/>
  <c r="D27" i="35" a="1"/>
  <c r="D27" i="35" s="1"/>
  <c r="D36" i="20" s="1"/>
  <c r="G110" i="32"/>
  <c r="L49" i="25" l="1"/>
  <c r="E43" i="32"/>
  <c r="F43" i="32" s="1"/>
  <c r="G43" i="32" s="1"/>
  <c r="E30" i="24"/>
  <c r="F38" i="20"/>
  <c r="F46" i="20" s="1"/>
  <c r="P27" i="25"/>
  <c r="P48" i="25"/>
  <c r="F111" i="32"/>
  <c r="H111" i="32" s="1"/>
  <c r="E112" i="32" s="1"/>
  <c r="E162" i="10"/>
  <c r="E33" i="24" l="1"/>
  <c r="E34" i="24" s="1"/>
  <c r="E36" i="24" s="1"/>
  <c r="F14" i="30" s="1"/>
  <c r="F56" i="20"/>
  <c r="H43" i="32"/>
  <c r="E44" i="32" s="1"/>
  <c r="F44" i="32" s="1"/>
  <c r="G44" i="32" s="1"/>
  <c r="G111" i="32"/>
  <c r="F163" i="10"/>
  <c r="E163" i="10"/>
  <c r="D162" i="10"/>
  <c r="D32" i="35" l="1" a="1"/>
  <c r="D32" i="35" s="1"/>
  <c r="D33" i="35" a="1"/>
  <c r="D33" i="35" s="1"/>
  <c r="H44" i="32"/>
  <c r="E45" i="32"/>
  <c r="F45" i="32" s="1"/>
  <c r="G45" i="32" s="1"/>
  <c r="D17" i="35" a="1"/>
  <c r="D17" i="35" s="1"/>
  <c r="D19" i="35" a="1"/>
  <c r="D19" i="35" s="1"/>
  <c r="D31" i="35" a="1"/>
  <c r="D31" i="35" s="1"/>
  <c r="F112" i="32"/>
  <c r="H112" i="32" s="1"/>
  <c r="E113" i="32" s="1"/>
  <c r="D42" i="20" l="1"/>
  <c r="D34" i="20"/>
  <c r="D39" i="35" a="1"/>
  <c r="D39" i="35" s="1"/>
  <c r="D54" i="20" s="1"/>
  <c r="D40" i="35" a="1"/>
  <c r="D40" i="35" s="1"/>
  <c r="H45" i="32"/>
  <c r="E46" i="32" s="1"/>
  <c r="F46" i="32" s="1"/>
  <c r="D36" i="35" a="1"/>
  <c r="D36" i="35" s="1"/>
  <c r="D45" i="20" s="1"/>
  <c r="G112" i="32"/>
  <c r="F113" i="32"/>
  <c r="D21" i="20" l="1"/>
  <c r="D14" i="20"/>
  <c r="D35" i="35" a="1"/>
  <c r="D35" i="35" s="1"/>
  <c r="C24" i="24"/>
  <c r="G46" i="32"/>
  <c r="H46" i="32"/>
  <c r="E47" i="32" s="1"/>
  <c r="F47" i="32" s="1"/>
  <c r="H113" i="32"/>
  <c r="E114" i="32" s="1"/>
  <c r="G113" i="32"/>
  <c r="D44" i="20" l="1"/>
  <c r="D16" i="20"/>
  <c r="D42" i="35" a="1"/>
  <c r="D42" i="35" s="1"/>
  <c r="D41" i="35" a="1"/>
  <c r="D41" i="35" s="1"/>
  <c r="G47" i="32"/>
  <c r="H47" i="32"/>
  <c r="F114" i="32"/>
  <c r="G114" i="32" s="1"/>
  <c r="D27" i="20" l="1"/>
  <c r="C13" i="24"/>
  <c r="D22" i="20"/>
  <c r="C14" i="24"/>
  <c r="C28" i="24"/>
  <c r="D25" i="20"/>
  <c r="C23" i="24"/>
  <c r="C21" i="24"/>
  <c r="E48" i="32"/>
  <c r="F48" i="32" s="1"/>
  <c r="H114" i="32"/>
  <c r="E115" i="32" s="1"/>
  <c r="G48" i="32" l="1"/>
  <c r="H48" i="32"/>
  <c r="F115" i="32"/>
  <c r="E49" i="32" l="1"/>
  <c r="F49" i="32" s="1"/>
  <c r="G115" i="32"/>
  <c r="H115" i="32"/>
  <c r="E116" i="32" s="1"/>
  <c r="G49" i="32" l="1"/>
  <c r="H49" i="32"/>
  <c r="F116" i="32"/>
  <c r="H116" i="32" s="1"/>
  <c r="E117" i="32" s="1"/>
  <c r="E50" i="32" l="1"/>
  <c r="F50" i="32" s="1"/>
  <c r="F117" i="32"/>
  <c r="G116" i="32"/>
  <c r="G50" i="32" l="1"/>
  <c r="H50" i="32"/>
  <c r="G117" i="32"/>
  <c r="H117" i="32"/>
  <c r="E118" i="32" s="1"/>
  <c r="E51" i="32" l="1"/>
  <c r="F51" i="32" s="1"/>
  <c r="F118" i="32"/>
  <c r="G118" i="32" s="1"/>
  <c r="G51" i="32" l="1"/>
  <c r="H51" i="32"/>
  <c r="H118" i="32"/>
  <c r="E119" i="32" s="1"/>
  <c r="E52" i="32" l="1"/>
  <c r="F52" i="32" s="1"/>
  <c r="D30" i="35" s="1" a="1"/>
  <c r="D30" i="35" s="1"/>
  <c r="D41" i="20" s="1"/>
  <c r="H52" i="32"/>
  <c r="F119" i="32"/>
  <c r="G119" i="32" s="1"/>
  <c r="D28" i="35" l="1" a="1"/>
  <c r="D28" i="35" s="1"/>
  <c r="D37" i="20" s="1"/>
  <c r="D29" i="35" a="1"/>
  <c r="D29" i="35" s="1"/>
  <c r="E53" i="32"/>
  <c r="F53" i="32" s="1"/>
  <c r="H53" i="32" s="1"/>
  <c r="G52" i="32"/>
  <c r="H119" i="32"/>
  <c r="E120" i="32" s="1"/>
  <c r="D40" i="20" l="1"/>
  <c r="D35" i="20"/>
  <c r="C22" i="24"/>
  <c r="D24" i="20"/>
  <c r="D20" i="20"/>
  <c r="C25" i="24"/>
  <c r="C30" i="24"/>
  <c r="C31" i="24"/>
  <c r="D39" i="20"/>
  <c r="G53" i="32"/>
  <c r="E54" i="32"/>
  <c r="F54" i="32" s="1"/>
  <c r="F120" i="32"/>
  <c r="G120" i="32" s="1"/>
  <c r="C29" i="24" l="1"/>
  <c r="C33" i="24" s="1"/>
  <c r="G54" i="32"/>
  <c r="H54" i="32"/>
  <c r="H120" i="32"/>
  <c r="E121" i="32" s="1"/>
  <c r="E55" i="32" l="1"/>
  <c r="F55" i="32" s="1"/>
  <c r="F121" i="32"/>
  <c r="G121" i="32" s="1"/>
  <c r="G55" i="32" l="1"/>
  <c r="H55" i="32"/>
  <c r="E56" i="32" s="1"/>
  <c r="F56" i="32" s="1"/>
  <c r="H121" i="32"/>
  <c r="E122" i="32" s="1"/>
  <c r="G56" i="32" l="1"/>
  <c r="H56" i="32"/>
  <c r="F122" i="32"/>
  <c r="G122" i="32" s="1"/>
  <c r="E57" i="32" l="1"/>
  <c r="F57" i="32" s="1"/>
  <c r="H122" i="32"/>
  <c r="H57" i="32" l="1"/>
  <c r="G57" i="32"/>
  <c r="E58" i="32" l="1"/>
  <c r="F58" i="32" s="1"/>
  <c r="G58" i="32" l="1"/>
  <c r="H58" i="32"/>
  <c r="E59" i="32" l="1"/>
  <c r="F59" i="32" s="1"/>
  <c r="H59" i="32" l="1"/>
  <c r="G59" i="32"/>
  <c r="E60" i="32" l="1"/>
  <c r="F60" i="32" s="1"/>
  <c r="G60" i="32" l="1"/>
  <c r="H60" i="32"/>
  <c r="E61" i="32" l="1"/>
  <c r="F61" i="32" s="1"/>
  <c r="H61" i="32" l="1"/>
  <c r="G61" i="32"/>
  <c r="E62" i="32" l="1"/>
  <c r="F62" i="32" s="1"/>
  <c r="G62" i="32" l="1"/>
  <c r="H62" i="32"/>
  <c r="E63" i="32" s="1"/>
  <c r="F63" i="32" s="1"/>
  <c r="H63" i="32" s="1"/>
  <c r="E64" i="32" l="1"/>
  <c r="F64" i="32" s="1"/>
  <c r="H64" i="32" s="1"/>
  <c r="G63" i="32"/>
  <c r="E65" i="32" l="1"/>
  <c r="F65" i="32" s="1"/>
  <c r="H65" i="32" s="1"/>
  <c r="G64" i="32"/>
  <c r="E66" i="32" l="1"/>
  <c r="F66" i="32" s="1"/>
  <c r="H66" i="32"/>
  <c r="G65" i="32"/>
  <c r="E67" i="32" l="1"/>
  <c r="F67" i="32" s="1"/>
  <c r="H67" i="32" s="1"/>
  <c r="G66" i="32"/>
  <c r="E68" i="32" l="1"/>
  <c r="F68" i="32" s="1"/>
  <c r="H68" i="32" s="1"/>
  <c r="G67" i="32"/>
  <c r="E69" i="32" l="1"/>
  <c r="F69" i="32" s="1"/>
  <c r="H69" i="32" s="1"/>
  <c r="G68" i="32"/>
  <c r="G69" i="32" l="1"/>
  <c r="D38" i="20" l="1"/>
  <c r="D34" i="35" a="1"/>
  <c r="D34" i="35" s="1"/>
  <c r="D43" i="20" s="1"/>
  <c r="F32" i="25" a="1"/>
  <c r="F32" i="25" s="1"/>
  <c r="G32" i="25" s="1"/>
  <c r="F48" i="25" a="1"/>
  <c r="F48" i="25" s="1"/>
  <c r="F27" i="25" a="1"/>
  <c r="F27" i="25" s="1"/>
  <c r="F19" i="25" a="1"/>
  <c r="F19" i="25" s="1"/>
  <c r="F27" i="20"/>
  <c r="F36" i="25" a="1"/>
  <c r="F36" i="25" s="1"/>
  <c r="G48" i="25" s="1"/>
  <c r="P22" i="25"/>
  <c r="Q27" i="25" s="1" a="1"/>
  <c r="Q27" i="25" s="1"/>
  <c r="D46" i="20" l="1"/>
  <c r="F30" i="20"/>
  <c r="F58" i="20" s="1"/>
  <c r="Q19" i="25" a="1"/>
  <c r="Q19" i="25" s="1"/>
  <c r="R27" i="25" s="1"/>
  <c r="G27" i="25"/>
  <c r="G33" i="25" s="1"/>
  <c r="H39" i="25" s="1"/>
  <c r="Q36" i="25" a="1"/>
  <c r="Q36" i="25" s="1"/>
  <c r="Q32" i="25" a="1"/>
  <c r="Q32" i="25" s="1"/>
  <c r="R32" i="25" s="1"/>
  <c r="Q49" i="25" a="1"/>
  <c r="Q49" i="25" s="1"/>
  <c r="R49" i="25" l="1"/>
  <c r="R33" i="25"/>
  <c r="F74" i="34"/>
  <c r="E75" i="34"/>
  <c r="E73" i="34"/>
  <c r="E191" i="34" l="1"/>
  <c r="D37" i="35" a="1"/>
  <c r="D37" i="35" s="1"/>
  <c r="F76" i="34"/>
  <c r="M16" i="17" s="1" a="1"/>
  <c r="M16" i="17" s="1"/>
  <c r="D18" i="35" a="1"/>
  <c r="D18" i="35" s="1"/>
  <c r="D23" i="20" s="1"/>
  <c r="D38" i="35" a="1"/>
  <c r="D38" i="35" s="1"/>
  <c r="S17" i="17" l="1" a="1"/>
  <c r="S17" i="17" s="1"/>
  <c r="F191" i="34"/>
  <c r="F192" i="34" s="1"/>
  <c r="D26" i="20"/>
  <c r="D30" i="20" s="1"/>
  <c r="D49" i="20"/>
  <c r="D44" i="35" a="1"/>
  <c r="D44" i="35" s="1"/>
  <c r="D43" i="35" a="1"/>
  <c r="D43" i="35" s="1"/>
  <c r="C15" i="24" s="1"/>
  <c r="D191" i="34" l="1"/>
  <c r="E192" i="34"/>
  <c r="C16" i="24"/>
  <c r="F48" i="35" a="1"/>
  <c r="F48" i="35" s="1"/>
  <c r="C17" i="24"/>
  <c r="F36" i="35" a="1"/>
  <c r="F36" i="35" s="1"/>
  <c r="F27" i="35" a="1"/>
  <c r="F27" i="35" s="1"/>
  <c r="F19" i="35" a="1"/>
  <c r="F19" i="35" s="1"/>
  <c r="F32" i="35" a="1"/>
  <c r="F32" i="35" s="1"/>
  <c r="G32" i="35" s="1"/>
  <c r="C18" i="24" l="1"/>
  <c r="C34" i="24" s="1"/>
  <c r="C36" i="24" s="1"/>
  <c r="G27" i="35"/>
  <c r="G33" i="35" s="1"/>
  <c r="G48" i="35"/>
  <c r="D53" i="20" l="1"/>
  <c r="D55" i="20" s="1"/>
  <c r="D56" i="20" s="1"/>
  <c r="D58" i="20" s="1"/>
  <c r="F20" i="30"/>
  <c r="F24" i="30" l="1"/>
  <c r="G24" i="30" s="1"/>
  <c r="G20" i="30"/>
  <c r="G14" i="30"/>
  <c r="F18" i="30"/>
  <c r="G18" i="3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<sst xmlns="http://schemas.openxmlformats.org/spreadsheetml/2006/main" count="2366" uniqueCount="667">
  <si>
    <t>Keterangan</t>
  </si>
  <si>
    <t>Bank</t>
  </si>
  <si>
    <t xml:space="preserve">No </t>
  </si>
  <si>
    <t>Nama Akun</t>
  </si>
  <si>
    <t xml:space="preserve"> Kas</t>
  </si>
  <si>
    <t xml:space="preserve"> Bank</t>
  </si>
  <si>
    <t xml:space="preserve"> Piutang Usaha</t>
  </si>
  <si>
    <t xml:space="preserve"> Persediaan Bahan Baku</t>
  </si>
  <si>
    <t xml:space="preserve"> Akumulasi Penyusutan Aset Tetap</t>
  </si>
  <si>
    <t xml:space="preserve"> Modal Pemilik</t>
  </si>
  <si>
    <t xml:space="preserve"> Laba Ditahan</t>
  </si>
  <si>
    <t xml:space="preserve"> Beban Bahan Baku</t>
  </si>
  <si>
    <t xml:space="preserve"> Beban Tenaga Kerja Langsung</t>
  </si>
  <si>
    <t xml:space="preserve"> Beban Overhead Pabrik</t>
  </si>
  <si>
    <t xml:space="preserve"> Beban Penyusutan</t>
  </si>
  <si>
    <t xml:space="preserve"> Beban Pemasaran &amp; Iklan</t>
  </si>
  <si>
    <t xml:space="preserve"> Beban Administrasi &amp; Umum</t>
  </si>
  <si>
    <t xml:space="preserve"> Beban Sewa</t>
  </si>
  <si>
    <t xml:space="preserve"> Cash</t>
  </si>
  <si>
    <t xml:space="preserve"> Accounts Receivable</t>
  </si>
  <si>
    <t xml:space="preserve"> Raw Material Inventory</t>
  </si>
  <si>
    <t xml:space="preserve"> Production Supplies</t>
  </si>
  <si>
    <t xml:space="preserve"> Buildings &amp; Production Machines</t>
  </si>
  <si>
    <t xml:space="preserve"> Accounts Payable</t>
  </si>
  <si>
    <t xml:space="preserve"> Tax Payable</t>
  </si>
  <si>
    <t xml:space="preserve"> Salary Payable</t>
  </si>
  <si>
    <t xml:space="preserve"> Bank Loan</t>
  </si>
  <si>
    <t xml:space="preserve"> Retained Earnings</t>
  </si>
  <si>
    <t xml:space="preserve"> Garment Sales Revenue</t>
  </si>
  <si>
    <t xml:space="preserve"> Raw Material Expenses</t>
  </si>
  <si>
    <t xml:space="preserve"> Direct Labor Expenses</t>
  </si>
  <si>
    <t xml:space="preserve"> Factory Overhead Expenses</t>
  </si>
  <si>
    <t xml:space="preserve"> Electricity &amp; Water Expenses</t>
  </si>
  <si>
    <t xml:space="preserve"> Depreciation Expenses</t>
  </si>
  <si>
    <t xml:space="preserve"> Marketing &amp; Advertising Expenses</t>
  </si>
  <si>
    <t xml:space="preserve"> Administrative &amp; General Expenses</t>
  </si>
  <si>
    <t xml:space="preserve"> Rent Expenses</t>
  </si>
  <si>
    <t>Account Name</t>
  </si>
  <si>
    <t>COA</t>
  </si>
  <si>
    <t>PT URBANE STITCH INDONESIA</t>
  </si>
  <si>
    <t>PT Urbane Stitch Indonesia didirikan dengan semangat menghadirkan produk pakaian yang elegan, modern, dan berkualitas tinggi. Perusahaan ini lahir dari komitmen untuk menjawab kebutuhan pasar akan busana yang tidak hanya memancarkan gaya, tetapi juga memberikan kenyamanan. Dengan dukungan tim profesional yang ahli di bidang desain dan produksi, Urbane Stitch terus berkembang menjadi perusahaan manufaktur pakaian yang inovatif dan terpercaya.</t>
  </si>
  <si>
    <t>Visi PT Urbane Stitch Indonesia adalah menjadi pelopor dalam industri manufaktur pakaian elegan dan modern yang diakui secara nasional maupun internasional. Perusahaan berkomitmen untuk menciptakan produk yang memadukan desain yang trendi dengan kualitas terbaik, sehingga mampu memenuhi kebutuhan pelanggan sekaligus menghadirkan nilai tambah di dunia fashion.</t>
  </si>
  <si>
    <t>Urbane Stitch menjunjung tinggi nilai-nilai integritas, kualitas, dan keberlanjutan. Setiap produk yang dihasilkan dibuat dengan perhatian terhadap detail dan menggunakan bahan-bahan terbaik. Selain itu, perusahaan percaya pada pentingnya memberdayakan masyarakat lokal, menciptakan lingkungan kerja yang inklusif, serta menjaga kelestarian lingkungan melalui proses produksi yang bertanggung jawab.</t>
  </si>
  <si>
    <t>Gambaran Umum URBANE STITCH</t>
  </si>
  <si>
    <t>Page</t>
  </si>
  <si>
    <t>Period</t>
  </si>
  <si>
    <t>Date</t>
  </si>
  <si>
    <t>Reference-No</t>
  </si>
  <si>
    <t>Description / Note</t>
  </si>
  <si>
    <t>Debit</t>
  </si>
  <si>
    <t>Credit</t>
  </si>
  <si>
    <t>Balance</t>
  </si>
  <si>
    <t>110-00-001</t>
  </si>
  <si>
    <t>Jl. Sri Rejeki</t>
  </si>
  <si>
    <t>Tel 024-123XXXXX</t>
  </si>
  <si>
    <t>01/01/25 - 31/12/25</t>
  </si>
  <si>
    <t>Saldo Awal</t>
  </si>
  <si>
    <t xml:space="preserve">Tanggal </t>
  </si>
  <si>
    <t>Kode Akun</t>
  </si>
  <si>
    <t>Ref.</t>
  </si>
  <si>
    <t>Debet</t>
  </si>
  <si>
    <t>Kredit</t>
  </si>
  <si>
    <t>JURNAL UMUM</t>
  </si>
  <si>
    <t>Tanggal</t>
  </si>
  <si>
    <t xml:space="preserve">    Kas</t>
  </si>
  <si>
    <t xml:space="preserve">   Modal Pemilik</t>
  </si>
  <si>
    <t xml:space="preserve">    Penjualan Produk Garment</t>
  </si>
  <si>
    <t xml:space="preserve">   Beban Tenaga Kerja Langsung</t>
  </si>
  <si>
    <t xml:space="preserve"> Gedung </t>
  </si>
  <si>
    <t>Mesin Produksi</t>
  </si>
  <si>
    <t xml:space="preserve">    Persediaan Barang Jadi</t>
  </si>
  <si>
    <t>KATUN</t>
  </si>
  <si>
    <t>LINEN</t>
  </si>
  <si>
    <t>RAYON</t>
  </si>
  <si>
    <t>POLYSTER</t>
  </si>
  <si>
    <t>DENIM</t>
  </si>
  <si>
    <t>MORI</t>
  </si>
  <si>
    <t>SUTRA</t>
  </si>
  <si>
    <t>PT KAIN HATI (QOLBI)</t>
  </si>
  <si>
    <t>TOKO FADH (HUSNA)</t>
  </si>
  <si>
    <t>KAIN UTAMA (GREGORIUS)</t>
  </si>
  <si>
    <t>BY LAV (ANDILA)</t>
  </si>
  <si>
    <t>SENTOSA KAIN (ADILA)</t>
  </si>
  <si>
    <t>KAZETEX (YUSTINA)</t>
  </si>
  <si>
    <t>TRUE TRHEAD(SAMUEL)</t>
  </si>
  <si>
    <t>KAIN BAGUS (PANDU)</t>
  </si>
  <si>
    <t>SYAFIQ</t>
  </si>
  <si>
    <t>PD KAIN (ASWIN)</t>
  </si>
  <si>
    <t>NO</t>
  </si>
  <si>
    <t>PERUSAHAAN</t>
  </si>
  <si>
    <r>
      <t>Produk</t>
    </r>
    <r>
      <rPr>
        <sz val="11"/>
        <color theme="1"/>
        <rFont val="Aptos Narrow"/>
        <family val="2"/>
        <scheme val="minor"/>
      </rPr>
      <t>: Kemeja, kaos, gamis, dress, celana, piyama, mukena.</t>
    </r>
  </si>
  <si>
    <r>
      <t>Kebutuhan Kain</t>
    </r>
    <r>
      <rPr>
        <sz val="11"/>
        <color theme="1"/>
        <rFont val="Aptos Narrow"/>
        <family val="2"/>
        <scheme val="minor"/>
      </rPr>
      <t>: 1,5 - 2 meter (dewasa), 1 - 1,5 meter (anak-anak).</t>
    </r>
  </si>
  <si>
    <r>
      <t>HPP (Perkiraan)</t>
    </r>
    <r>
      <rPr>
        <sz val="11"/>
        <color theme="1"/>
        <rFont val="Aptos Narrow"/>
        <family val="2"/>
        <scheme val="minor"/>
      </rPr>
      <t>: Rp 30.000 - Rp 100.000 tergantung jenis katun (katun biasa, premium, combed, dll.).</t>
    </r>
  </si>
  <si>
    <r>
      <t>Produk</t>
    </r>
    <r>
      <rPr>
        <sz val="11"/>
        <color theme="1"/>
        <rFont val="Aptos Narrow"/>
        <family val="2"/>
        <scheme val="minor"/>
      </rPr>
      <t>: Kemeja, outer, tunik, dress, celana kulot, blazer.</t>
    </r>
  </si>
  <si>
    <r>
      <t>Kebutuhan Kain</t>
    </r>
    <r>
      <rPr>
        <sz val="11"/>
        <color theme="1"/>
        <rFont val="Aptos Narrow"/>
        <family val="2"/>
        <scheme val="minor"/>
      </rPr>
      <t>: 2 - 2,5 meter (dewasa), 1,2 - 1,5 meter (anak-anak).</t>
    </r>
  </si>
  <si>
    <r>
      <t>HPP</t>
    </r>
    <r>
      <rPr>
        <sz val="11"/>
        <color theme="1"/>
        <rFont val="Aptos Narrow"/>
        <family val="2"/>
        <scheme val="minor"/>
      </rPr>
      <t>: Rp 80.000 - Rp 150.000.</t>
    </r>
  </si>
  <si>
    <t>Produk: Gamis, tunik, dress, daster, kemeja, blouse.</t>
  </si>
  <si>
    <t>Kebutuhan Kain: 1,5 - 2 meter (dewasa), 1 - 1,3 meter (anak-anak).</t>
  </si>
  <si>
    <t>HPP: Rp 40.000 - Rp 90.000.</t>
  </si>
  <si>
    <t>Produk: Jaket, celana training, kaos olahraga, jas hujan, blazer.</t>
  </si>
  <si>
    <t>Kebutuhan Kain: 1,5 - 2,5 meter (dewasa), 1 - 1,5 meter (anak-anak).</t>
  </si>
  <si>
    <t>HPP: Rp 25.000 - Rp 80.000.</t>
  </si>
  <si>
    <t>Produk: Celana jeans, jaket, rok, overall, jumpsuit.</t>
  </si>
  <si>
    <t>HPP: Rp 70.000 - Rp 200.000</t>
  </si>
  <si>
    <t>Produk: Batik, mukena, kemeja, blouse.</t>
  </si>
  <si>
    <t>HPP: Rp 50.000 - Rp 120.000.</t>
  </si>
  <si>
    <t>Produk: Kebaya, gaun, blouse, kemeja premium, scarf.</t>
  </si>
  <si>
    <t>HPP: Rp 150.000 - Rp 500.000.</t>
  </si>
  <si>
    <t>HPP</t>
  </si>
  <si>
    <t>PEKERJA</t>
  </si>
  <si>
    <t>Quantity/Bulan</t>
  </si>
  <si>
    <t>ARF(AJRIYA)</t>
  </si>
  <si>
    <t>Kemeja Katun</t>
  </si>
  <si>
    <t>Outer Linen</t>
  </si>
  <si>
    <t>Tunik Rayon</t>
  </si>
  <si>
    <t>Jaket Polyster</t>
  </si>
  <si>
    <t>Jumpsuit Denim</t>
  </si>
  <si>
    <t>Batik Mori</t>
  </si>
  <si>
    <t>Blouse Sutra</t>
  </si>
  <si>
    <t>Jumlah</t>
  </si>
  <si>
    <t>Total Pendapatan</t>
  </si>
  <si>
    <t xml:space="preserve"> Beban Utilitas</t>
  </si>
  <si>
    <t>Diskon Pembelian</t>
  </si>
  <si>
    <t xml:space="preserve">   Diskon Pembelian</t>
  </si>
  <si>
    <t>Discounts Sales</t>
  </si>
  <si>
    <t>Beban Pokok Penjualan</t>
  </si>
  <si>
    <t xml:space="preserve">   Beban Pokok Penjualan</t>
  </si>
  <si>
    <t>Sales Expense</t>
  </si>
  <si>
    <t>Setiap produk Jadi Membutuhkan @2 Meter Kain</t>
  </si>
  <si>
    <t xml:space="preserve"> Utang Pajak Gaji</t>
  </si>
  <si>
    <t xml:space="preserve">    Utang Pajak Gaji</t>
  </si>
  <si>
    <t>Utang Pajak PPN</t>
  </si>
  <si>
    <t xml:space="preserve">   Utang Pajak PPN</t>
  </si>
  <si>
    <t>Moving-Average</t>
  </si>
  <si>
    <t>Periode : per Maret 2025</t>
  </si>
  <si>
    <t>Penjualan</t>
  </si>
  <si>
    <t>Ghost A</t>
  </si>
  <si>
    <t>Ghost B</t>
  </si>
  <si>
    <t>Harga</t>
  </si>
  <si>
    <t>Jumlah Total</t>
  </si>
  <si>
    <t>Diskon</t>
  </si>
  <si>
    <t>Pajak 11%</t>
  </si>
  <si>
    <t>Neto</t>
  </si>
  <si>
    <t>Jumlah + Tax</t>
  </si>
  <si>
    <t>X</t>
  </si>
  <si>
    <t>Ghost C</t>
  </si>
  <si>
    <t>Diskon Penjualan</t>
  </si>
  <si>
    <t xml:space="preserve">   Diskon Penjualan</t>
  </si>
  <si>
    <t>Sales Discount</t>
  </si>
  <si>
    <t xml:space="preserve">   Penjualan Produk Garment</t>
  </si>
  <si>
    <t>PPN Masukan</t>
  </si>
  <si>
    <t xml:space="preserve">   PPN Keluaran</t>
  </si>
  <si>
    <t>Ghost D</t>
  </si>
  <si>
    <t>Ghost E</t>
  </si>
  <si>
    <t>Ghost F</t>
  </si>
  <si>
    <t>Ghost G</t>
  </si>
  <si>
    <t>Jan</t>
  </si>
  <si>
    <t>Feb</t>
  </si>
  <si>
    <t>Mar</t>
  </si>
  <si>
    <t>Apr</t>
  </si>
  <si>
    <t>May</t>
  </si>
  <si>
    <t>Jun</t>
  </si>
  <si>
    <t>Jul</t>
  </si>
  <si>
    <t>Aug</t>
  </si>
  <si>
    <t>Sep</t>
  </si>
  <si>
    <t>Oct</t>
  </si>
  <si>
    <t>Nov</t>
  </si>
  <si>
    <t>Dec</t>
  </si>
  <si>
    <t>Bulan</t>
  </si>
  <si>
    <t>Jumlah Produksi</t>
  </si>
  <si>
    <t>Diketahui:</t>
  </si>
  <si>
    <r>
      <t>Gaji per bulan</t>
    </r>
    <r>
      <rPr>
        <sz val="11"/>
        <color theme="1"/>
        <rFont val="Aptos Narrow"/>
        <family val="2"/>
        <scheme val="minor"/>
      </rPr>
      <t xml:space="preserve"> = Rp500.000</t>
    </r>
  </si>
  <si>
    <t>Perhitungan Biaya Tenaga Kerja per Unit:</t>
  </si>
  <si>
    <t>Biaya BTK</t>
  </si>
  <si>
    <r>
      <t>Kapasitas produksi</t>
    </r>
    <r>
      <rPr>
        <sz val="11"/>
        <color theme="1"/>
        <rFont val="Aptos Narrow"/>
        <family val="2"/>
        <scheme val="minor"/>
      </rPr>
      <t xml:space="preserve"> = 500 unit baju per bulan</t>
    </r>
  </si>
  <si>
    <r>
      <t xml:space="preserve">Jadi, </t>
    </r>
    <r>
      <rPr>
        <b/>
        <sz val="11"/>
        <color theme="1"/>
        <rFont val="Aptos Narrow"/>
        <family val="2"/>
        <scheme val="minor"/>
      </rPr>
      <t>biaya tenaga kerja langsung per unit baju adalah Rp1000</t>
    </r>
    <r>
      <rPr>
        <sz val="11"/>
        <color theme="1"/>
        <rFont val="Aptos Narrow"/>
        <family val="2"/>
        <scheme val="minor"/>
      </rPr>
      <t>.</t>
    </r>
  </si>
  <si>
    <t>Jika karyawan lembur akan mendapar bayaran sebesar 125% atau Rp 1.250 per baju</t>
  </si>
  <si>
    <t>Tanggal 31 Desember 2023</t>
  </si>
  <si>
    <t xml:space="preserve">LAPORAN POSISI KEUANGAN </t>
  </si>
  <si>
    <t xml:space="preserve">PT URBANE STITCH INDONESIA (PERSERO)  </t>
  </si>
  <si>
    <t>As of December 31, 2023</t>
  </si>
  <si>
    <t xml:space="preserve">STATEMENT OF FINANCIAL POSITION </t>
  </si>
  <si>
    <t>ASSET</t>
  </si>
  <si>
    <t>Piutang Usaha</t>
  </si>
  <si>
    <t>Persediaan Bahan Baku</t>
  </si>
  <si>
    <t>Perlengkapan Produksi</t>
  </si>
  <si>
    <t xml:space="preserve">Gedung </t>
  </si>
  <si>
    <t>Kas</t>
  </si>
  <si>
    <t xml:space="preserve">   Gedung </t>
  </si>
  <si>
    <t>Catatan/</t>
  </si>
  <si>
    <t>Notes</t>
  </si>
  <si>
    <t>JUMLAH ASET</t>
  </si>
  <si>
    <t>LIALIBILITAS DAN EKUITAS</t>
  </si>
  <si>
    <t xml:space="preserve">LIALIBILITAS  </t>
  </si>
  <si>
    <t>Utang Pajak Gaji</t>
  </si>
  <si>
    <t>Utang Usaha</t>
  </si>
  <si>
    <t>Utang Gaji</t>
  </si>
  <si>
    <t>Utang Bank</t>
  </si>
  <si>
    <t xml:space="preserve">JUMLAH LIALIBILITAS  </t>
  </si>
  <si>
    <t>EKUITAS</t>
  </si>
  <si>
    <t>JUMLAH EKUITAS</t>
  </si>
  <si>
    <t>JUMLAH LIALIBILITAS DAN EKUITAS</t>
  </si>
  <si>
    <t>TOTAL LIABILITIES AND EQUITY</t>
  </si>
  <si>
    <t>TOTAL EQUITY</t>
  </si>
  <si>
    <t>EQUITY</t>
  </si>
  <si>
    <t>TOTAL LIALIBILITIES</t>
  </si>
  <si>
    <t>LIALIBILITIES</t>
  </si>
  <si>
    <t>LIALIBILITIES AND EQUITIES</t>
  </si>
  <si>
    <t>TOTAL ASSETS</t>
  </si>
  <si>
    <t>PENDAPATAN DAN PENJUALAN LAINNYA</t>
  </si>
  <si>
    <t>SALES AND OTHER OPERATING REVENUES</t>
  </si>
  <si>
    <t>Penjualan Produk Garment</t>
  </si>
  <si>
    <t>JUMLAH PENDAPATAN DAN PENJUALAN LAINNYA</t>
  </si>
  <si>
    <t>JUMLAH BEBAN POKOK PENJUALAN DAN LAINNYA</t>
  </si>
  <si>
    <t>BEBAN POKOK PENJUALAN DAN LAINNYA</t>
  </si>
  <si>
    <t>TOTAL SALES AND OTHER REVENUES</t>
  </si>
  <si>
    <t>COST OF SALES AND OTHER COST</t>
  </si>
  <si>
    <t>LABA BRUTO</t>
  </si>
  <si>
    <t>GROSS PROFIT</t>
  </si>
  <si>
    <t>Income Tax Expense</t>
  </si>
  <si>
    <t>LABA NETO</t>
  </si>
  <si>
    <t>NET PROFIT</t>
  </si>
  <si>
    <t xml:space="preserve">Catatan atas laporan keuangan konsolidasian terlampir </t>
  </si>
  <si>
    <t xml:space="preserve">merupakan bagian integral dari laporan keuangan </t>
  </si>
  <si>
    <t>konsolidasian.</t>
  </si>
  <si>
    <t xml:space="preserve">The accompanying notes to the consolidated financial statements </t>
  </si>
  <si>
    <t xml:space="preserve">form an integral part of these consolidated financial </t>
  </si>
  <si>
    <t>statements.</t>
  </si>
  <si>
    <t>1. Tujuan</t>
  </si>
  <si>
    <t>2. Dasar Hukum</t>
  </si>
  <si>
    <t>PSAK No. 16 tentang Aset Tetap</t>
  </si>
  <si>
    <t>3. Rumus Penyusutan Garis Lurus</t>
  </si>
  <si>
    <t>Keterangan:</t>
  </si>
  <si>
    <t>Nilai Residu = Nilai sisa atau estimasi harga jual mesin di akhir masa manfaat.</t>
  </si>
  <si>
    <t>Masa Manfaat = Estimasi umur ekonomis mesin (contoh: 5 tahun, 10 tahun, dsb).</t>
  </si>
  <si>
    <t>4. Contoh Penghitungan</t>
  </si>
  <si>
    <t>Misalnya:</t>
  </si>
  <si>
    <t>Nilai</t>
  </si>
  <si>
    <t>Harga Perolehan Mesin</t>
  </si>
  <si>
    <t>Nilai Residu</t>
  </si>
  <si>
    <t>Masa Manfaat</t>
  </si>
  <si>
    <t>5 tahun</t>
  </si>
  <si>
    <t xml:space="preserve">Harga Perolehan = Harga beli mesin </t>
  </si>
  <si>
    <r>
      <t xml:space="preserve">Jadi, tiap tahun akan mencatat beban penyusutan sebesar </t>
    </r>
    <r>
      <rPr>
        <b/>
        <sz val="11"/>
        <color theme="1"/>
        <rFont val="Aptos Narrow"/>
        <family val="2"/>
        <scheme val="minor"/>
      </rPr>
      <t>Rp 300.000</t>
    </r>
    <r>
      <rPr>
        <sz val="11"/>
        <color theme="1"/>
        <rFont val="Aptos Narrow"/>
        <family val="2"/>
        <scheme val="minor"/>
      </rPr>
      <t>.</t>
    </r>
  </si>
  <si>
    <t xml:space="preserve">                                                                                                                         </t>
  </si>
  <si>
    <t>Tahun</t>
  </si>
  <si>
    <t>Penyusutan per Tahun</t>
  </si>
  <si>
    <t>SISA</t>
  </si>
  <si>
    <t>TOTAL</t>
  </si>
  <si>
    <t>Retur</t>
  </si>
  <si>
    <r>
      <t>Aging schedule</t>
    </r>
    <r>
      <rPr>
        <sz val="11"/>
        <color theme="1"/>
        <rFont val="Aptos Narrow"/>
        <family val="2"/>
        <scheme val="minor"/>
      </rPr>
      <t xml:space="preserve"> (jadwal umur piutang) adalah alat penting dalam akuntansi dan manajemen keuangan untuk </t>
    </r>
    <r>
      <rPr>
        <b/>
        <sz val="11"/>
        <color theme="1"/>
        <rFont val="Aptos Narrow"/>
        <family val="2"/>
        <scheme val="minor"/>
      </rPr>
      <t>melacak umur piutang</t>
    </r>
  </si>
  <si>
    <r>
      <t xml:space="preserve">📋 </t>
    </r>
    <r>
      <rPr>
        <b/>
        <sz val="11"/>
        <color theme="1"/>
        <rFont val="Aptos Narrow"/>
        <family val="2"/>
        <scheme val="minor"/>
      </rPr>
      <t>Format Umum Aging Schedule di Perusahaan</t>
    </r>
  </si>
  <si>
    <t>Nama Pelanggan</t>
  </si>
  <si>
    <t>Total Piutang</t>
  </si>
  <si>
    <t>0–30 hari</t>
  </si>
  <si>
    <t>31–60 hari</t>
  </si>
  <si>
    <t>61–90 hari</t>
  </si>
  <si>
    <t>91–180 hari</t>
  </si>
  <si>
    <t>181–270 hari</t>
  </si>
  <si>
    <t>271–365 hari</t>
  </si>
  <si>
    <t>Total</t>
  </si>
  <si>
    <t>📉 Versi Lanjutan: Aging Schedule dengan Estimasi Tidak Tertagih</t>
  </si>
  <si>
    <t>Kategori Umur Piutang</t>
  </si>
  <si>
    <t>Estimasi Tidak Tertagih (%)</t>
  </si>
  <si>
    <t>Estimasi Kerugian</t>
  </si>
  <si>
    <t>0–180 hari</t>
  </si>
  <si>
    <r>
      <t>LCNRV</t>
    </r>
    <r>
      <rPr>
        <sz val="11"/>
        <color theme="1"/>
        <rFont val="Aptos Narrow"/>
        <family val="2"/>
        <scheme val="minor"/>
      </rPr>
      <t xml:space="preserve"> adalah singkatan dari </t>
    </r>
    <r>
      <rPr>
        <b/>
        <sz val="11"/>
        <color theme="1"/>
        <rFont val="Aptos Narrow"/>
        <family val="2"/>
        <scheme val="minor"/>
      </rPr>
      <t>Lower of Cost or Net Realizable Value</t>
    </r>
  </si>
  <si>
    <r>
      <t xml:space="preserve">📦 </t>
    </r>
    <r>
      <rPr>
        <b/>
        <sz val="11"/>
        <color theme="1"/>
        <rFont val="Aptos Narrow"/>
        <family val="2"/>
        <scheme val="minor"/>
      </rPr>
      <t>Pengertian LCNRV</t>
    </r>
  </si>
  <si>
    <r>
      <t xml:space="preserve">LCNRV berarti bahwa nilai persediaan harus dicatat </t>
    </r>
    <r>
      <rPr>
        <b/>
        <sz val="11"/>
        <color theme="1"/>
        <rFont val="Aptos Narrow"/>
        <family val="2"/>
        <scheme val="minor"/>
      </rPr>
      <t>sebesar nilai terendah</t>
    </r>
    <r>
      <rPr>
        <sz val="11"/>
        <color theme="1"/>
        <rFont val="Aptos Narrow"/>
        <family val="2"/>
        <scheme val="minor"/>
      </rPr>
      <t xml:space="preserve"> antara:</t>
    </r>
  </si>
  <si>
    <r>
      <t>Cost</t>
    </r>
    <r>
      <rPr>
        <sz val="11"/>
        <color theme="1"/>
        <rFont val="Aptos Narrow"/>
        <family val="2"/>
        <scheme val="minor"/>
      </rPr>
      <t xml:space="preserve"> = Harga perolehan (misalnya harga beli + biaya masuk gudang)</t>
    </r>
  </si>
  <si>
    <r>
      <t>Net Realizable Value (NRV)</t>
    </r>
    <r>
      <rPr>
        <sz val="11"/>
        <color theme="1"/>
        <rFont val="Aptos Narrow"/>
        <family val="2"/>
        <scheme val="minor"/>
      </rPr>
      <t xml:space="preserve"> = Harga jual dikurangi biaya penjualan dan penyelesaian.</t>
    </r>
  </si>
  <si>
    <t>📉 Kapan LCNRV Dipakai?</t>
  </si>
  <si>
    <t>Barang rusak atau kadaluarsa</t>
  </si>
  <si>
    <t>Harga pasar turun</t>
  </si>
  <si>
    <t>Biaya penjualan meningkat</t>
  </si>
  <si>
    <t>Barang lama tidak laku dan harus dijual diskon</t>
  </si>
  <si>
    <t>Nama Barang</t>
  </si>
  <si>
    <t>Harga Perolehan (Cost)</t>
  </si>
  <si>
    <t>Harga Jual</t>
  </si>
  <si>
    <t>Biaya Penjualan</t>
  </si>
  <si>
    <t>NRV</t>
  </si>
  <si>
    <t>LCNRV</t>
  </si>
  <si>
    <t>JUMLAH</t>
  </si>
  <si>
    <t>Retur Penjualan</t>
  </si>
  <si>
    <t xml:space="preserve">   Retur Penjualan</t>
  </si>
  <si>
    <t>Retur Pembelian</t>
  </si>
  <si>
    <t xml:space="preserve">   Retur Pembelian</t>
  </si>
  <si>
    <t>Purchase Returns</t>
  </si>
  <si>
    <t>Sales Returns</t>
  </si>
  <si>
    <t>LAPORAN ARUS KAS</t>
  </si>
  <si>
    <t>STATEMENT OF CASH FLOW</t>
  </si>
  <si>
    <t>Modal Saham</t>
  </si>
  <si>
    <t>Agio Saham</t>
  </si>
  <si>
    <t>Laba Ditahan</t>
  </si>
  <si>
    <t>Total Ekuitas</t>
  </si>
  <si>
    <t>Laba (Rugi) Komprehensif Tahun Berjalan</t>
  </si>
  <si>
    <t>Dividen yang Diumumkan</t>
  </si>
  <si>
    <t>Tambahan Modal Disetor (jika ada)</t>
  </si>
  <si>
    <t>Penyesuaian Saldo (jika ada)</t>
  </si>
  <si>
    <t>Saldo per 1 Januari 2025</t>
  </si>
  <si>
    <t>Kas Bersih dari Aktivitas Operasi</t>
  </si>
  <si>
    <t>Arus kas dari aktivitas operasi:</t>
  </si>
  <si>
    <t>Kas Bersih dari Aktivitas Investasi</t>
  </si>
  <si>
    <t>Arus kas dari aktivitas Investasi:</t>
  </si>
  <si>
    <t>Kas Bersih dari Aktivitas Pendanaan</t>
  </si>
  <si>
    <t>Arus kas dari aktivitas pendanaan:</t>
  </si>
  <si>
    <t>Cash Flows from Operating Activities</t>
  </si>
  <si>
    <t>Net Cash Provided by Operating Activities</t>
  </si>
  <si>
    <t>Cash Flows from Investing Activities</t>
  </si>
  <si>
    <t>Cash Flows from Financing Activities</t>
  </si>
  <si>
    <t>Net Cash Provided by Financing Activities</t>
  </si>
  <si>
    <t>Ref</t>
  </si>
  <si>
    <t>JU-1</t>
  </si>
  <si>
    <t>Modal</t>
  </si>
  <si>
    <t>Setor Modal</t>
  </si>
  <si>
    <t>Pembelian</t>
  </si>
  <si>
    <t>Mesin</t>
  </si>
  <si>
    <t>Sewa</t>
  </si>
  <si>
    <t>Sewa Gedung</t>
  </si>
  <si>
    <t>Beban bulanan</t>
  </si>
  <si>
    <t>Pencatatan Gaji</t>
  </si>
  <si>
    <t>Pajak Gaji</t>
  </si>
  <si>
    <t>Beban Gaji</t>
  </si>
  <si>
    <t>Persediaan</t>
  </si>
  <si>
    <t>Bayar</t>
  </si>
  <si>
    <t>Gaji</t>
  </si>
  <si>
    <t>Jual</t>
  </si>
  <si>
    <t>Utilitas</t>
  </si>
  <si>
    <t xml:space="preserve">   PPN Masukan</t>
  </si>
  <si>
    <t>PPN Keluaran</t>
  </si>
  <si>
    <t>Utang</t>
  </si>
  <si>
    <t>Retur Jual</t>
  </si>
  <si>
    <t>Ikhtisar Laba Rugi</t>
  </si>
  <si>
    <t xml:space="preserve">   Ikhtisar Laba Rugi</t>
  </si>
  <si>
    <t>Income Summary</t>
  </si>
  <si>
    <t>JP-1</t>
  </si>
  <si>
    <t>Penutup</t>
  </si>
  <si>
    <t>Periode</t>
  </si>
  <si>
    <t>Amortisasi Premium (Rp)</t>
  </si>
  <si>
    <t>Saldo Premium (Rp)</t>
  </si>
  <si>
    <t>Saldo Akhir Obligasi (Rp)</t>
  </si>
  <si>
    <t>-</t>
  </si>
  <si>
    <t>Item</t>
  </si>
  <si>
    <t>Rumus Excel</t>
  </si>
  <si>
    <t>Hasil</t>
  </si>
  <si>
    <t>PV Kupon</t>
  </si>
  <si>
    <t>PV Pokok</t>
  </si>
  <si>
    <t>Total PV</t>
  </si>
  <si>
    <t>=6.087.840 + 5.019.000</t>
  </si>
  <si>
    <t>Data:</t>
  </si>
  <si>
    <t>Tabel Jadwal Amortisasi Obligasi Urbane Stitch Indonesia</t>
  </si>
  <si>
    <t>Nilai nominal obligasi 10000000</t>
  </si>
  <si>
    <t>Umur obligasi  48 bulan (4 tahun)</t>
  </si>
  <si>
    <t>Pembayaran bunga  setiap 6 bulan</t>
  </si>
  <si>
    <t>Pokok pinjaman (P) = Rp5.000.000</t>
  </si>
  <si>
    <t>Lama pinjaman (n) = 36 bulan (3 tahun)</t>
  </si>
  <si>
    <t>Suku bunga tahunan (i) = 12% per tahun = 1% per bulan</t>
  </si>
  <si>
    <t>Angsuran (Rp)</t>
  </si>
  <si>
    <t>Bunga (Rp)</t>
  </si>
  <si>
    <t>Pokok (Rp)</t>
  </si>
  <si>
    <t>Sisa Hutang (Rp)</t>
  </si>
  <si>
    <t>Utang Obligasi</t>
  </si>
  <si>
    <t xml:space="preserve">   Utang Obligasi</t>
  </si>
  <si>
    <t>Bond Payable</t>
  </si>
  <si>
    <t>Premi Obligasi</t>
  </si>
  <si>
    <t xml:space="preserve">   Premi Obligasi</t>
  </si>
  <si>
    <t>Premium Bond</t>
  </si>
  <si>
    <t>Wesel Bayar</t>
  </si>
  <si>
    <t xml:space="preserve">   Wesel Bayar</t>
  </si>
  <si>
    <t>Notes Payable</t>
  </si>
  <si>
    <t>Tingkat bunga pasar  18% per tahun → 0,375% per  bulan</t>
  </si>
  <si>
    <t>DATA URBANE STITCH INDONESIA PER DESEMBER 2025</t>
  </si>
  <si>
    <t>AHSAN JAYA BERKARYA</t>
  </si>
  <si>
    <t>No2</t>
  </si>
  <si>
    <t>VENDOR</t>
  </si>
  <si>
    <t>TANGGAL</t>
  </si>
  <si>
    <t>PENJUAL</t>
  </si>
  <si>
    <t>HARGA</t>
  </si>
  <si>
    <t>RETUR</t>
  </si>
  <si>
    <t>TANGGA</t>
  </si>
  <si>
    <t xml:space="preserve">KATUN </t>
  </si>
  <si>
    <t xml:space="preserve">LINEN </t>
  </si>
  <si>
    <t xml:space="preserve">RAYON </t>
  </si>
  <si>
    <t xml:space="preserve">POLYSTER </t>
  </si>
  <si>
    <t xml:space="preserve">DENIM </t>
  </si>
  <si>
    <t xml:space="preserve">MORI </t>
  </si>
  <si>
    <t xml:space="preserve">HARGA </t>
  </si>
  <si>
    <t xml:space="preserve">JUMLAH </t>
  </si>
  <si>
    <t xml:space="preserve">TANGGAL </t>
  </si>
  <si>
    <t>DATA HARGA PENJUALAN  PT URBANE STITCH INDONESIA</t>
  </si>
  <si>
    <t xml:space="preserve">SUTRA </t>
  </si>
  <si>
    <t>Saldo Premium</t>
  </si>
  <si>
    <t>Pendapatan Lain-lain</t>
  </si>
  <si>
    <t xml:space="preserve">   Pendapatan Lain-lain</t>
  </si>
  <si>
    <t>Others revenue</t>
  </si>
  <si>
    <t>Beban Bunga</t>
  </si>
  <si>
    <t xml:space="preserve">   Beban Bunga</t>
  </si>
  <si>
    <t>Interest Expense</t>
  </si>
  <si>
    <t xml:space="preserve">   Kas</t>
  </si>
  <si>
    <t xml:space="preserve">   Bank</t>
  </si>
  <si>
    <t xml:space="preserve">   Utang Bank</t>
  </si>
  <si>
    <t>Nilai Buku</t>
  </si>
  <si>
    <t>Harga Perolehan Gedung</t>
  </si>
  <si>
    <t>Shares Equity</t>
  </si>
  <si>
    <t>Aset Lainnya</t>
  </si>
  <si>
    <t xml:space="preserve">   Aset Lainnya</t>
  </si>
  <si>
    <t>Other Assets</t>
  </si>
  <si>
    <t>Premi Saham-Biasa</t>
  </si>
  <si>
    <t xml:space="preserve">   Premi Saham-Biasa</t>
  </si>
  <si>
    <t>Premium Share-Ordinary</t>
  </si>
  <si>
    <t>Kendaraan</t>
  </si>
  <si>
    <t xml:space="preserve">   Kendaraan</t>
  </si>
  <si>
    <t>Vehicle</t>
  </si>
  <si>
    <t>Gedung</t>
  </si>
  <si>
    <t>Beban Bahan Baku</t>
  </si>
  <si>
    <t>Beban Tenaga Kerja Langsung</t>
  </si>
  <si>
    <t>Beban Overhead Pabrik</t>
  </si>
  <si>
    <t>Beban Utilitas</t>
  </si>
  <si>
    <t>Beban Penyusutan</t>
  </si>
  <si>
    <t>Beban Pemasaran &amp; Iklan</t>
  </si>
  <si>
    <t>Beban Administrasi &amp; Umum</t>
  </si>
  <si>
    <t>Beban Sewa</t>
  </si>
  <si>
    <t xml:space="preserve">   Beban Utilitas</t>
  </si>
  <si>
    <t xml:space="preserve">   Perlengkapan Produksi</t>
  </si>
  <si>
    <t xml:space="preserve">   Persediaan Bahan Baku</t>
  </si>
  <si>
    <t xml:space="preserve">   Piutang Usaha</t>
  </si>
  <si>
    <t xml:space="preserve">   Mesin Produksi</t>
  </si>
  <si>
    <t xml:space="preserve">   Utang Usaha</t>
  </si>
  <si>
    <t xml:space="preserve">   Utang Pajak Gaji</t>
  </si>
  <si>
    <t xml:space="preserve">   Utang Gaji</t>
  </si>
  <si>
    <t xml:space="preserve">   Laba Ditahan</t>
  </si>
  <si>
    <t xml:space="preserve">   Beban Bahan Baku</t>
  </si>
  <si>
    <t xml:space="preserve">   Beban Overhead Pabrik</t>
  </si>
  <si>
    <t xml:space="preserve">   Beban Penyusutan</t>
  </si>
  <si>
    <t xml:space="preserve">   Beban Pemasaran &amp; Iklan</t>
  </si>
  <si>
    <t xml:space="preserve">   Beban Administrasi &amp; Umum</t>
  </si>
  <si>
    <t xml:space="preserve">   Beban Sewa</t>
  </si>
  <si>
    <t>Tanggal 31 Desember 2025</t>
  </si>
  <si>
    <t>Tanggal 31 Desember 2026</t>
  </si>
  <si>
    <t>Saldo per 31 Desember 2025</t>
  </si>
  <si>
    <t>Tanggal penerbitan  1 Januari 2026</t>
  </si>
  <si>
    <t>Nilai nominal obligasi 10.000.000</t>
  </si>
  <si>
    <t>Umur obligasi  36 bulan (3 tahun)</t>
  </si>
  <si>
    <t>Pembayaran bunga  setiap bulan</t>
  </si>
  <si>
    <t>Saldo Diskon (Rp)</t>
  </si>
  <si>
    <t>Saldo Diskon</t>
  </si>
  <si>
    <t>OBLIGASI DARI PT KAIN HATI</t>
  </si>
  <si>
    <t>OBLIGASI KEPADA PT KAIN HATI</t>
  </si>
  <si>
    <t>WESEL DARI GHOST</t>
  </si>
  <si>
    <t>Amortisasi  Diskon</t>
  </si>
  <si>
    <t xml:space="preserve">   Akumulasi Penyusutan Mesin</t>
  </si>
  <si>
    <t>Akumulasi Penyusutan Mesin</t>
  </si>
  <si>
    <t>Akumulasi Penyusutan Gedung</t>
  </si>
  <si>
    <t xml:space="preserve">   Akumulasi Penyusutan Gedung</t>
  </si>
  <si>
    <t>Akumulasi Penyusutan Kendaraan</t>
  </si>
  <si>
    <t xml:space="preserve">   Akumulasi Penyusutan Kendaraan</t>
  </si>
  <si>
    <t>31 Desember 2025/</t>
  </si>
  <si>
    <t>Desember 31, 2025</t>
  </si>
  <si>
    <t>31 Desember 2026/</t>
  </si>
  <si>
    <t>Desember 31, 2026</t>
  </si>
  <si>
    <t>JU1</t>
  </si>
  <si>
    <t>Pendapatan Bunga</t>
  </si>
  <si>
    <t xml:space="preserve">   Pendapatan Bunga</t>
  </si>
  <si>
    <t>Interest Revebue</t>
  </si>
  <si>
    <t>Accumulated Vehicle Depreciation</t>
  </si>
  <si>
    <t xml:space="preserve"> Accumulated Machine Depreciation</t>
  </si>
  <si>
    <t>Accumulated Building Depreciation</t>
  </si>
  <si>
    <t>VAT Out</t>
  </si>
  <si>
    <t>VAT In</t>
  </si>
  <si>
    <t>Diskon Obligasi</t>
  </si>
  <si>
    <t xml:space="preserve">   Diskon Obligasi</t>
  </si>
  <si>
    <t>Discount Bond</t>
  </si>
  <si>
    <t>Suku bunga obligasi  15% per tahun → 1,25% per bulan</t>
  </si>
  <si>
    <t>Kupon per periode 125.000</t>
  </si>
  <si>
    <t>Kupon per periode 183.333</t>
  </si>
  <si>
    <t>Suku bunga obligasi  22% per tahun → 1,8333% per bulan</t>
  </si>
  <si>
    <t>Tingkat bunga pasar  18% per tahun → 1,5% per  bulan</t>
  </si>
  <si>
    <t>Utang Kontinjensi Pemasaran</t>
  </si>
  <si>
    <t xml:space="preserve">   Utang Kontinjensi Pemasaran</t>
  </si>
  <si>
    <t>Marketing Contingensies Liabilities</t>
  </si>
  <si>
    <t>LAPORAN PERUBAHAN MODAL</t>
  </si>
  <si>
    <t>Utang Dividen</t>
  </si>
  <si>
    <t xml:space="preserve">   Utang Dividen</t>
  </si>
  <si>
    <t>Dividend Liabilities</t>
  </si>
  <si>
    <t>Saham biasa 30.000 dengan nilai pari Rp174 per 31 maret 2026</t>
  </si>
  <si>
    <t>Saham biasa 80.000 dengan nilai pari Rp100 per 31 maret 2026</t>
  </si>
  <si>
    <t>Saham diotorisasi 1.000.000, saham ditempatkan dan disetor 306.312 dengan nilai pari Rp100 per 28 februari 2026</t>
  </si>
  <si>
    <t>Shares authorized 1,000,000, issued and paid-up shares 306,312 with a pari value of Rp100 as of 28 February 2026</t>
  </si>
  <si>
    <t>80,000 ordinary shares with a pari value of Rp100 as of March 31, 2026</t>
  </si>
  <si>
    <t>30,000 ordinary shares with a pari value of Rp174 as of March 31, 2026</t>
  </si>
  <si>
    <t>Investasi Saham</t>
  </si>
  <si>
    <t xml:space="preserve">   Investasi Saham</t>
  </si>
  <si>
    <t>Shares Investation</t>
  </si>
  <si>
    <t>December 31, 2025</t>
  </si>
  <si>
    <t>31 Maret 2026/</t>
  </si>
  <si>
    <t>31 March 2026/</t>
  </si>
  <si>
    <t>March 31, 2026</t>
  </si>
  <si>
    <t>Beban Pph Badan</t>
  </si>
  <si>
    <t xml:space="preserve">   Beban Pph Badan</t>
  </si>
  <si>
    <t>General Ledger</t>
  </si>
  <si>
    <t>Investasi Obligasi</t>
  </si>
  <si>
    <t xml:space="preserve">   Investasi Obligasi</t>
  </si>
  <si>
    <t>Bond Investation</t>
  </si>
  <si>
    <t>Bunga Diterima</t>
  </si>
  <si>
    <t>Bunga Dibayar</t>
  </si>
  <si>
    <t>Beban Pensiun</t>
  </si>
  <si>
    <t xml:space="preserve">   Beban Pensiun</t>
  </si>
  <si>
    <t>Pension Expense</t>
  </si>
  <si>
    <t>Aset Pensiun</t>
  </si>
  <si>
    <t xml:space="preserve">   Aset Pensiun</t>
  </si>
  <si>
    <t>Utang Pensiun</t>
  </si>
  <si>
    <t xml:space="preserve">   Utang Pensiun</t>
  </si>
  <si>
    <t>Pension Liabilites</t>
  </si>
  <si>
    <t>Pension Asset</t>
  </si>
  <si>
    <t xml:space="preserve">Keterangan </t>
  </si>
  <si>
    <t>Harga Perolehan Kendaraan</t>
  </si>
  <si>
    <t xml:space="preserve">   Modal</t>
  </si>
  <si>
    <t>As of December 31, 2025</t>
  </si>
  <si>
    <t>Saldo per 1 Januari 2026</t>
  </si>
  <si>
    <t>Saldo per  2026</t>
  </si>
  <si>
    <t>(dalam ribuan Rupiah)</t>
  </si>
  <si>
    <t>Posisi Keuangan</t>
  </si>
  <si>
    <t>Aset</t>
  </si>
  <si>
    <t>Total Aset Lancar</t>
  </si>
  <si>
    <t>Total Aset Tetap &amp; Investasi</t>
  </si>
  <si>
    <t>Jumlah Aset</t>
  </si>
  <si>
    <t>Liabilitas</t>
  </si>
  <si>
    <t>Total Kewajiban Jangka Pendek</t>
  </si>
  <si>
    <t>Jumlah Liabilitas</t>
  </si>
  <si>
    <t>Ekuitas</t>
  </si>
  <si>
    <t>Modal Disetor &amp; Saham</t>
  </si>
  <si>
    <t>Premi Saham</t>
  </si>
  <si>
    <t>Jumlah Ekuitas</t>
  </si>
  <si>
    <t>Laporan Laba Rugi</t>
  </si>
  <si>
    <t>Penjualan Bersih</t>
  </si>
  <si>
    <t>Pendapatan Lain-lain &amp; Investasi</t>
  </si>
  <si>
    <t>Beban Pokok Penjualan &amp; Operasional</t>
  </si>
  <si>
    <t>Laba Bruto</t>
  </si>
  <si>
    <t>Beban Pajak Penghasilan</t>
  </si>
  <si>
    <t>Laba Neto Tahun Berjalan</t>
  </si>
  <si>
    <t>Rasio Keuangan Pilihan</t>
  </si>
  <si>
    <t>Margin Laba Neto (%)</t>
  </si>
  <si>
    <t>Return on Equity (ROE) (%)</t>
  </si>
  <si>
    <t>Rasio Liabilitas terhadap Aset (%)</t>
  </si>
  <si>
    <t>Data Ikhtiar Saham</t>
  </si>
  <si>
    <t>Harga Tertinggi</t>
  </si>
  <si>
    <t>Harga Terendah</t>
  </si>
  <si>
    <t>Harga Penutupan</t>
  </si>
  <si>
    <t>Mei</t>
  </si>
  <si>
    <t>Agu</t>
  </si>
  <si>
    <t>Okt</t>
  </si>
  <si>
    <t>Des</t>
  </si>
  <si>
    <t>Kapitalisasi Pasar</t>
  </si>
  <si>
    <t>Produk</t>
  </si>
  <si>
    <t>Pakaian Kasual Modern</t>
  </si>
  <si>
    <t>T-shirt, kemeja, blouse, dan celana berbahan ringan dan nyaman, dengan potongan yang mengikuti tren gaya hidup urban masa kini.</t>
  </si>
  <si>
    <t>Pakaian Formal &amp; Office Wear</t>
  </si>
  <si>
    <t>Koleksi tailored seperti jas, blazer, rok span, dan celana bahan, cocok untuk kebutuhan profesional dan bisnis.</t>
  </si>
  <si>
    <t>Pakaian Muslim &amp; Modest Wear</t>
  </si>
  <si>
    <t>Gamis, tunik, celana kulot, dan outerwear dengan desain yang stylish namun tetap sesuai nilai kesopanan, populer di pasar domestik dan ekspor.</t>
  </si>
  <si>
    <t>Custom Apparel untuk Brand Lokal &amp; Internasional</t>
  </si>
  <si>
    <t>Kami menjadi mitra produksi bagi berbagai brand dalam mewujudkan koleksi mereka secara massal, baik untuk pasar ritel, e-commerce, maupun private label.</t>
  </si>
  <si>
    <t>Special Edition</t>
  </si>
  <si>
    <t>Produksi terbatas untuk kampanye, launching brand, atau kolaborasi desainer, dengan perhatian tinggi terhadap detail dan storytelling desain.</t>
  </si>
  <si>
    <t>Kids &amp; Teens Apparel</t>
  </si>
  <si>
    <t xml:space="preserve">Koleksi pakaian harian dan acara khusus untuk anak-anak dan remaja, dengan desain ceria, nyaman, dan aman digunakan. </t>
  </si>
  <si>
    <t xml:space="preserve">Activewear </t>
  </si>
  <si>
    <t>Produk pakaian olahraga dan pakaian kasual bergaya sporty yang cocok untuk aktivitas fisik maupun gaya hidup aktif sehari-hari.</t>
  </si>
  <si>
    <t>Loungewear</t>
  </si>
  <si>
    <t>Koleksi pakaian santai untuk digunakan di rumah dengan kenyamanan optimal dan desain minimalis-modern. Meliputi piyama, kimono, kaos oversized.</t>
  </si>
  <si>
    <t>Uniform Line</t>
  </si>
  <si>
    <t xml:space="preserve">Layanan produksi pakaian seragam untuk perusahaan, hotel, rumah sakit, lembaga pendidikan, dan brand F&amp;B. </t>
  </si>
  <si>
    <t>ASET</t>
  </si>
  <si>
    <t>LIABILITAS</t>
  </si>
  <si>
    <t>ROE</t>
  </si>
  <si>
    <t>Rasio</t>
  </si>
  <si>
    <t>Tahun 2025</t>
  </si>
  <si>
    <t>Tahun 2024</t>
  </si>
  <si>
    <t>Current Ratio</t>
  </si>
  <si>
    <t>Debt to Asset Ratio</t>
  </si>
  <si>
    <t>Tidak tersedia¹</t>
  </si>
  <si>
    <t>Interest Coverage Ratio</t>
  </si>
  <si>
    <t>2b</t>
  </si>
  <si>
    <t>2a</t>
  </si>
  <si>
    <t>Daftar Pemasok</t>
  </si>
  <si>
    <t>Total Utang</t>
  </si>
  <si>
    <t>Laba Neto sebelum pajak</t>
  </si>
  <si>
    <t>Penyesuaian untuk:</t>
  </si>
  <si>
    <t>- Beban penyusutan</t>
  </si>
  <si>
    <t>- Beban bunga</t>
  </si>
  <si>
    <t>- Pendapatan bunga</t>
  </si>
  <si>
    <t>Perubahan dalam aset dan liabilitas:</t>
  </si>
  <si>
    <t>- (Kenaikan)/penurunan piutang usaha</t>
  </si>
  <si>
    <t>- (Kenaikan)/penurunan persediaan</t>
  </si>
  <si>
    <t>- (Kenaikan)/penurunan PPN Masukan</t>
  </si>
  <si>
    <t>- Kenaikan/(penurunan) utang usaha</t>
  </si>
  <si>
    <t>- Kenaikan/(penurunan) PPN Keluaran</t>
  </si>
  <si>
    <t>- Kenaikan/(penurunan) utang pajak gaji</t>
  </si>
  <si>
    <t>- (Kenaikan)/penurunan diskon pembelian</t>
  </si>
  <si>
    <t>Pembelian aset tetap (aset lainnya, mesin)</t>
  </si>
  <si>
    <t>Pembelian investasi saham</t>
  </si>
  <si>
    <t>Pembelian investasi obligasi</t>
  </si>
  <si>
    <t>Pendapatan bunga</t>
  </si>
  <si>
    <t>Penerbitan obligasi</t>
  </si>
  <si>
    <t>Premi obligasi</t>
  </si>
  <si>
    <t>Utang bank</t>
  </si>
  <si>
    <t>Wesel bayar</t>
  </si>
  <si>
    <t>Utang kontinjensi pemasaran</t>
  </si>
  <si>
    <t>Utang dividen</t>
  </si>
  <si>
    <t>Setoran modal saham &amp; premi saham</t>
  </si>
  <si>
    <t>Kas bersih dari aktivitas operasi</t>
  </si>
  <si>
    <t>Kas bersih dari aktivitas investasi</t>
  </si>
  <si>
    <t>Kas bersih dari aktivitas pendanaan</t>
  </si>
  <si>
    <t>Kenaikan (Penurunan) Bersih Kas</t>
  </si>
  <si>
    <t>Saldo Kas dan Setara KasAwal Tahun</t>
  </si>
  <si>
    <t>Saldo Kas dan Setara Kas Akhir Tahun</t>
  </si>
  <si>
    <t>Net Income before Tax</t>
  </si>
  <si>
    <t>Adjustments for:</t>
  </si>
  <si>
    <t>Depreciation Expense</t>
  </si>
  <si>
    <t>Interest Income</t>
  </si>
  <si>
    <t>Changes in assets and liabilities:</t>
  </si>
  <si>
    <t>(Increase)/decrease in accounts receivable</t>
  </si>
  <si>
    <t>(Increase)/decrease in inventories</t>
  </si>
  <si>
    <t>(Increase)/decrease in VAT Input</t>
  </si>
  <si>
    <t>Increase/(decrease) in accounts payable</t>
  </si>
  <si>
    <t>Increase/(decrease) in VAT Output</t>
  </si>
  <si>
    <t>Increase/(decrease) in payroll tax payable</t>
  </si>
  <si>
    <t>(Increase)/decrease in purchase discount</t>
  </si>
  <si>
    <t>Acquisition of fixed assets (other assets, machinery)</t>
  </si>
  <si>
    <t>Acquisition of equity investments</t>
  </si>
  <si>
    <t>Acquisition of bond investments</t>
  </si>
  <si>
    <t>Interest income received</t>
  </si>
  <si>
    <t>Issuance of bonds</t>
  </si>
  <si>
    <t>Bond premium</t>
  </si>
  <si>
    <t>Bank loans</t>
  </si>
  <si>
    <t>Notes payable</t>
  </si>
  <si>
    <t>Marketing contingency payables</t>
  </si>
  <si>
    <t>Dividend payables</t>
  </si>
  <si>
    <t>Capital stock and additional paid-in capital contributions</t>
  </si>
  <si>
    <t>Net Cash Provided by Investing Activities</t>
  </si>
  <si>
    <t>Net cash from operating activities</t>
  </si>
  <si>
    <t>Net cash from investing activities</t>
  </si>
  <si>
    <t>Net cash from financing activities</t>
  </si>
  <si>
    <t>Net increase (decrease) in cash</t>
  </si>
  <si>
    <t>Cash and cash equivalents at beginning of the year</t>
  </si>
  <si>
    <t>Cash and cash equivalents at end of the year</t>
  </si>
  <si>
    <t xml:space="preserve">The accompanying notes to the consolidated financial </t>
  </si>
  <si>
    <t xml:space="preserve">statements are an integral part of these consolidated </t>
  </si>
  <si>
    <t>financial statements</t>
  </si>
  <si>
    <t>Jumlah Hutang</t>
  </si>
  <si>
    <t>Syafiq</t>
  </si>
  <si>
    <t>PT Kain Hati</t>
  </si>
  <si>
    <t>Ahsan Jaya Berkah</t>
  </si>
  <si>
    <t>PD Kain</t>
  </si>
  <si>
    <t>By Lav</t>
  </si>
  <si>
    <t>True Tread</t>
  </si>
  <si>
    <t>Toko Fadh</t>
  </si>
  <si>
    <t>2c</t>
  </si>
  <si>
    <t>2d</t>
  </si>
  <si>
    <t xml:space="preserve">Memberikan acuan perhitungan penyusutan aset tetap berupa mesin produksi garment dengan metode </t>
  </si>
  <si>
    <t>garis lurus agar laporan keuangan perusahaan mencerminkan nilai aset secara wajar dan akuntabel.</t>
  </si>
  <si>
    <t xml:space="preserve">Jika produksi aktual lebih kecil atau lebih besar dari </t>
  </si>
  <si>
    <t xml:space="preserve">kapasitas, biaya tenaga kerja per unit dapat berubah tergantung </t>
  </si>
  <si>
    <t xml:space="preserve">pada sistem pengupahan yang diterapkan (misalnya, sistem gaji tetap </t>
  </si>
  <si>
    <t>atau sistem upah berdasarkan jumlah produksi).</t>
  </si>
  <si>
    <r>
      <t xml:space="preserve">Untuk menentukan </t>
    </r>
    <r>
      <rPr>
        <b/>
        <sz val="11"/>
        <color theme="1"/>
        <rFont val="Aptos Narrow"/>
        <family val="2"/>
        <scheme val="minor"/>
      </rPr>
      <t>Biaya Produksi dari Beban Tenaga Kerja Langsung</t>
    </r>
    <r>
      <rPr>
        <sz val="11"/>
        <color theme="1"/>
        <rFont val="Aptos Narrow"/>
        <family val="2"/>
        <scheme val="minor"/>
      </rPr>
      <t xml:space="preserve">, </t>
    </r>
  </si>
  <si>
    <t>kita bisa menghitung biaya tenaga kerja per unit berdasarkan kapasitas produksi.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</si>
</sst>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6" formatCode="&quot;Rp&quot;#,##0;[Red]\-&quot;Rp&quot;#,##0"/>
    <numFmt numFmtId="8" formatCode="&quot;Rp&quot;#,##0.00;[Red]\-&quot;Rp&quot;#,##0.00"/>
    <numFmt numFmtId="41" formatCode="_-* #,##0_-;\-* #,##0_-;_-* &quot;-&quot;_-;_-@_-"/>
    <numFmt numFmtId="164" formatCode="_-[$Rp-3809]* #,##0_-;\-[$Rp-3809]* #,##0_-;_-[$Rp-3809]* &quot;-&quot;??_-;_-@_-"/>
    <numFmt numFmtId="165" formatCode="@* \:"/>
    <numFmt numFmtId="166" formatCode="[$-F800]dddd\,\ mmmm\ dd\,\ yyyy"/>
    <numFmt numFmtId="167" formatCode="#,##0.000"/>
  </numFmts>
  <fonts count="43">
    <font>
      <sz val="11"/>
      <color theme="1"/>
      <name val="Aptos Narrow"/>
      <family val="2"/>
      <scheme val="minor"/>
    </font>
    <font>
      <sz val="11"/>
      <color theme="0"/>
      <name val="Avenir Next LT Pro"/>
      <family val="2"/>
    </font>
    <font>
      <sz val="11"/>
      <color theme="1"/>
      <name val="Aptos Narrow"/>
      <family val="2"/>
      <scheme val="minor"/>
    </font>
    <font>
      <sz val="11"/>
      <color theme="1"/>
      <name val="Avenir Next LT Pro"/>
      <family val="2"/>
    </font>
    <font>
      <b/>
      <sz val="16"/>
      <color theme="1"/>
      <name val="Aptos Narrow"/>
      <family val="2"/>
      <scheme val="minor"/>
    </font>
    <font>
      <b/>
      <sz val="11"/>
      <color theme="1"/>
      <name val="Aptos Narrow"/>
      <family val="2"/>
      <scheme val="minor"/>
    </font>
    <font>
      <b/>
      <sz val="12"/>
      <color theme="1"/>
      <name val="Aptos Narrow"/>
      <family val="2"/>
      <scheme val="minor"/>
    </font>
    <font>
      <b/>
      <sz val="12"/>
      <color theme="0"/>
      <name val="Aptos Narrow"/>
      <family val="2"/>
      <scheme val="minor"/>
    </font>
    <font>
      <b/>
      <sz val="12"/>
      <color theme="0"/>
      <name val="Aptos Narrow"/>
      <family val="2"/>
      <scheme val="minor"/>
    </font>
    <font>
      <b/>
      <sz val="11"/>
      <color theme="0"/>
      <name val="Aptos Narrow"/>
      <family val="2"/>
      <scheme val="minor"/>
    </font>
    <font>
      <b/>
      <i/>
      <sz val="11"/>
      <color theme="0"/>
      <name val="Aptos Narrow"/>
      <family val="2"/>
      <scheme val="minor"/>
    </font>
    <font>
      <b/>
      <sz val="18"/>
      <color rgb="FFA888B5"/>
      <name val="Avenir Next LT Pro"/>
      <family val="2"/>
    </font>
    <font>
      <i/>
      <sz val="11"/>
      <color theme="1"/>
      <name val="Aptos Narrow"/>
      <family val="2"/>
      <scheme val="minor"/>
    </font>
    <font>
      <b/>
      <sz val="12"/>
      <color theme="1"/>
      <name val="Aptos Narrow"/>
      <family val="2"/>
      <scheme val="minor"/>
    </font>
    <font>
      <sz val="11"/>
      <color theme="1"/>
      <name val="Aptos Narrow"/>
      <family val="2"/>
      <charset val="1"/>
      <scheme val="minor"/>
    </font>
    <font>
      <b/>
      <sz val="12"/>
      <color theme="1"/>
      <name val="Abadi"/>
      <family val="2"/>
    </font>
    <font>
      <b/>
      <sz val="24"/>
      <color theme="0"/>
      <name val="Courier New"/>
      <family val="3"/>
    </font>
    <font>
      <sz val="8"/>
      <name val="Aptos Narrow"/>
      <family val="2"/>
      <scheme val="minor"/>
    </font>
    <font>
      <sz val="14"/>
      <color theme="1"/>
      <name val="Aptos Narrow"/>
      <family val="2"/>
      <scheme val="minor"/>
    </font>
    <font>
      <b/>
      <sz val="14"/>
      <color theme="1"/>
      <name val="Aptos Narrow"/>
      <family val="2"/>
      <scheme val="minor"/>
    </font>
    <font>
      <b/>
      <sz val="13.5"/>
      <color theme="1"/>
      <name val="Aptos Narrow"/>
      <family val="2"/>
      <scheme val="minor"/>
    </font>
    <font>
      <sz val="11"/>
      <color theme="0" tint="-0.14999847407452621"/>
      <name val="Aptos Narrow"/>
      <family val="2"/>
      <scheme val="minor"/>
    </font>
    <font>
      <b/>
      <i/>
      <sz val="11"/>
      <color theme="1"/>
      <name val="Aptos Narrow"/>
      <family val="2"/>
      <scheme val="minor"/>
    </font>
    <font>
      <sz val="16"/>
      <color rgb="FF7F778A"/>
      <name val="Aptos Narrow"/>
      <family val="2"/>
      <scheme val="minor"/>
    </font>
    <font>
      <b/>
      <sz val="10"/>
      <color theme="1"/>
      <name val="Avenir Next LT Pro"/>
      <family val="2"/>
    </font>
    <font>
      <b/>
      <sz val="10"/>
      <color rgb="FF7F778A"/>
      <name val="Avenir Next LT Pro"/>
      <family val="2"/>
    </font>
    <font>
      <sz val="14"/>
      <color theme="0"/>
      <name val="Aptos Narrow"/>
      <family val="2"/>
      <scheme val="minor"/>
    </font>
    <font>
      <sz val="11"/>
      <color theme="4" tint="0.39997558519241921"/>
      <name val="Aptos Narrow"/>
      <family val="2"/>
      <scheme val="minor"/>
    </font>
    <font>
      <sz val="11"/>
      <name val="Aptos Narrow"/>
      <family val="2"/>
      <scheme val="minor"/>
    </font>
    <font>
      <sz val="10"/>
      <color theme="1"/>
      <name val="Arial Unicode MS"/>
    </font>
    <font>
      <b/>
      <sz val="11"/>
      <color theme="2" tint="-0.249977111117893"/>
      <name val="Aptos Narrow"/>
      <family val="2"/>
      <scheme val="minor"/>
    </font>
    <font>
      <b/>
      <sz val="16"/>
      <color theme="3" tint="0.249977111117893"/>
      <name val="Aptos Narrow"/>
      <family val="2"/>
      <scheme val="minor"/>
    </font>
    <font>
      <sz val="11"/>
      <color theme="2" tint="-0.499984740745262"/>
      <name val="Aptos Narrow"/>
      <family val="2"/>
      <scheme val="minor"/>
    </font>
    <font>
      <b/>
      <sz val="10"/>
      <color theme="2" tint="-0.249977111117893"/>
      <name val="Aptos Narrow"/>
      <family val="2"/>
      <scheme val="minor"/>
    </font>
    <font>
      <sz val="11"/>
      <color rgb="FFA888B5"/>
      <name val="Avenir Next LT Pro"/>
      <family val="2"/>
    </font>
    <font>
      <i/>
      <sz val="14"/>
      <color theme="1"/>
      <name val="Aptos Narrow"/>
      <family val="2"/>
      <scheme val="minor"/>
    </font>
    <font>
      <sz val="16"/>
      <color theme="1"/>
      <name val="Aptos Narrow"/>
      <family val="2"/>
      <scheme val="minor"/>
    </font>
    <font>
      <sz val="11"/>
      <name val="Avenir Next LT Pro"/>
      <family val="2"/>
    </font>
    <font>
      <sz val="11"/>
      <color theme="0" tint="-0.249977111117893"/>
      <name val="Aptos Narrow"/>
      <family val="2"/>
      <scheme val="minor"/>
    </font>
    <font>
      <sz val="11"/>
      <color theme="0"/>
      <name val="Aptos Narrow"/>
      <family val="2"/>
      <scheme val="minor"/>
    </font>
    <font>
      <b/>
      <sz val="14"/>
      <color theme="0"/>
      <name val="Aptos Narrow"/>
      <family val="2"/>
      <scheme val="minor"/>
    </font>
    <font>
      <b/>
      <u/>
      <sz val="11"/>
      <color theme="1"/>
      <name val="Times New Roman"/>
      <family val="1"/>
    </font>
    <font>
      <sz val="11"/>
      <color theme="1"/>
      <name val="Times New Roman"/>
      <family val="1"/>
    </font>
  </fonts>
  <fills count="28">
    <fill>
      <patternFill patternType="none"/>
    </fill>
    <fill>
      <patternFill patternType="gray125"/>
    </fill>
    <fill>
      <patternFill patternType="solid">
        <fgColor rgb="FF073673"/>
        <bgColor indexed="64"/>
      </patternFill>
    </fill>
    <fill>
      <patternFill patternType="solid">
        <fgColor rgb="FF8174A0"/>
        <bgColor indexed="64"/>
      </patternFill>
    </fill>
    <fill>
      <patternFill patternType="solid">
        <fgColor rgb="FF441752"/>
        <bgColor indexed="64"/>
      </patternFill>
    </fill>
    <fill>
      <patternFill patternType="solid">
        <fgColor rgb="FFA888B5"/>
        <bgColor indexed="64"/>
      </patternFill>
    </fill>
    <fill>
      <patternFill patternType="solid">
        <fgColor rgb="FFF4CCE9"/>
        <bgColor indexed="64"/>
      </patternFill>
    </fill>
    <fill>
      <patternFill patternType="solid">
        <fgColor theme="0"/>
        <bgColor indexed="64"/>
      </patternFill>
    </fill>
    <fill>
      <patternFill patternType="solid">
        <fgColor rgb="FFA888B5"/>
        <bgColor theme="1"/>
      </patternFill>
    </fill>
    <fill>
      <patternFill patternType="solid">
        <fgColor theme="5" tint="-0.249977111117893"/>
        <bgColor indexed="64"/>
      </patternFill>
    </fill>
    <fill>
      <patternFill patternType="solid">
        <fgColor theme="3" tint="0.499984740745262"/>
        <bgColor indexed="64"/>
      </patternFill>
    </fill>
    <fill>
      <patternFill patternType="solid">
        <fgColor theme="3"/>
        <bgColor indexed="64"/>
      </patternFill>
    </fill>
    <fill>
      <patternFill patternType="solid">
        <fgColor rgb="FF7F778A"/>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7A1CAC"/>
        <bgColor indexed="64"/>
      </patternFill>
    </fill>
    <fill>
      <patternFill patternType="solid">
        <fgColor rgb="FFAD49E1"/>
        <bgColor indexed="64"/>
      </patternFill>
    </fill>
    <fill>
      <patternFill patternType="solid">
        <fgColor rgb="FFAD49E1"/>
        <bgColor theme="6"/>
      </patternFill>
    </fill>
    <fill>
      <patternFill patternType="solid">
        <fgColor rgb="FFA888B5"/>
        <bgColor theme="6"/>
      </patternFill>
    </fill>
    <fill>
      <patternFill patternType="solid">
        <fgColor theme="8" tint="0.79998168889431442"/>
        <bgColor indexed="64"/>
      </patternFill>
    </fill>
    <fill>
      <patternFill patternType="solid">
        <fgColor rgb="FFFFC00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8"/>
        <bgColor theme="8"/>
      </patternFill>
    </fill>
  </fills>
  <borders count="32">
    <border>
      <left/>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double">
        <color indexed="64"/>
      </bottom>
      <diagonal/>
    </border>
    <border>
      <left style="thin">
        <color theme="6"/>
      </left>
      <right/>
      <top/>
      <bottom/>
      <diagonal/>
    </border>
    <border>
      <left/>
      <right style="thin">
        <color theme="6"/>
      </right>
      <top/>
      <bottom/>
      <diagonal/>
    </border>
    <border>
      <left/>
      <right/>
      <top style="thin">
        <color indexed="64"/>
      </top>
      <bottom/>
      <diagonal/>
    </border>
    <border>
      <left/>
      <right style="thin">
        <color indexed="64"/>
      </right>
      <top/>
      <bottom/>
      <diagonal/>
    </border>
    <border>
      <left/>
      <right/>
      <top style="thin">
        <color indexed="64"/>
      </top>
      <bottom style="double">
        <color indexed="64"/>
      </bottom>
      <diagonal/>
    </border>
    <border>
      <left/>
      <right/>
      <top style="thin">
        <color indexed="64"/>
      </top>
      <bottom style="medium">
        <color indexed="64"/>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
      <left/>
      <right/>
      <top style="thin">
        <color theme="8" tint="0.39997558519241921"/>
      </top>
      <bottom/>
      <diagonal/>
    </border>
  </borders>
  <cellStyleXfs count="5">
    <xf numFmtId="0" fontId="0" fillId="0" borderId="0"/>
    <xf numFmtId="41" fontId="2" fillId="0" borderId="0" applyFont="0" applyFill="0" applyBorder="0" applyAlignment="0" applyProtection="0"/>
    <xf numFmtId="0" fontId="14" fillId="0" borderId="0"/>
    <xf numFmtId="0" fontId="2" fillId="0" borderId="0"/>
    <xf numFmtId="41" fontId="2" fillId="0" borderId="0" applyFont="0" applyFill="0" applyBorder="0" applyAlignment="0" applyProtection="0"/>
  </cellStyleXfs>
  <cellXfs count="294">
    <xf numFmtId="0" fontId="0" fillId="0" borderId="0" xfId="0"/>
    <xf numFmtId="41" fontId="0" fillId="0" borderId="0" xfId="1" applyFont="1"/>
    <xf numFmtId="0" fontId="0" fillId="0" borderId="0" xfId="0" applyAlignment="1">
      <alignment horizontal="left"/>
    </xf>
    <xf numFmtId="41" fontId="0" fillId="0" borderId="0" xfId="0" applyNumberFormat="1"/>
    <xf numFmtId="0" fontId="5" fillId="0" borderId="0" xfId="0" applyFont="1"/>
    <xf numFmtId="0" fontId="0" fillId="3" borderId="0" xfId="0" applyFill="1" applyProtection="1">
      <protection locked="0"/>
    </xf>
    <xf numFmtId="0" fontId="0" fillId="3" borderId="0" xfId="0" applyFill="1"/>
    <xf numFmtId="0" fontId="1" fillId="3" borderId="0" xfId="0" applyFont="1" applyFill="1"/>
    <xf numFmtId="41" fontId="4" fillId="4" borderId="0" xfId="1" applyFont="1" applyFill="1" applyAlignment="1">
      <alignment horizontal="center" vertical="center"/>
    </xf>
    <xf numFmtId="164" fontId="3" fillId="6" borderId="0" xfId="1" applyNumberFormat="1" applyFont="1" applyFill="1" applyAlignment="1">
      <alignment horizontal="center"/>
    </xf>
    <xf numFmtId="0" fontId="0" fillId="7" borderId="0" xfId="0" applyFill="1"/>
    <xf numFmtId="0" fontId="9" fillId="8" borderId="5" xfId="0" applyFont="1" applyFill="1" applyBorder="1"/>
    <xf numFmtId="0" fontId="9" fillId="8" borderId="6" xfId="0" applyFont="1" applyFill="1" applyBorder="1"/>
    <xf numFmtId="0" fontId="9" fillId="8" borderId="7" xfId="0" applyFont="1" applyFill="1" applyBorder="1"/>
    <xf numFmtId="0" fontId="10" fillId="8" borderId="0" xfId="0" applyFont="1" applyFill="1"/>
    <xf numFmtId="0" fontId="11" fillId="0" borderId="2" xfId="0" applyFont="1" applyBorder="1" applyAlignment="1">
      <alignment horizontal="centerContinuous" vertical="center"/>
    </xf>
    <xf numFmtId="0" fontId="0" fillId="0" borderId="3" xfId="0" applyBorder="1" applyAlignment="1">
      <alignment horizontal="centerContinuous" vertical="center"/>
    </xf>
    <xf numFmtId="0" fontId="0" fillId="0" borderId="8" xfId="0" applyBorder="1" applyAlignment="1">
      <alignment horizontal="centerContinuous" vertical="center"/>
    </xf>
    <xf numFmtId="0" fontId="12" fillId="0" borderId="0" xfId="0" applyFont="1"/>
    <xf numFmtId="0" fontId="0" fillId="0" borderId="0" xfId="0" applyAlignment="1">
      <alignment horizontal="center"/>
    </xf>
    <xf numFmtId="41" fontId="0" fillId="0" borderId="0" xfId="1" applyFont="1" applyBorder="1"/>
    <xf numFmtId="0" fontId="0" fillId="0" borderId="0" xfId="0" applyAlignment="1">
      <alignment horizontal="right"/>
    </xf>
    <xf numFmtId="0" fontId="0" fillId="0" borderId="0" xfId="0" applyAlignment="1">
      <alignment horizontal="left" vertical="center" wrapText="1"/>
    </xf>
    <xf numFmtId="0" fontId="13" fillId="0" borderId="0" xfId="2" applyFont="1" applyAlignment="1">
      <alignment horizontal="left"/>
    </xf>
    <xf numFmtId="0" fontId="14" fillId="0" borderId="0" xfId="2" applyAlignment="1">
      <alignment horizontal="center"/>
    </xf>
    <xf numFmtId="0" fontId="14" fillId="0" borderId="0" xfId="2" applyAlignment="1">
      <alignment horizontal="left"/>
    </xf>
    <xf numFmtId="0" fontId="14" fillId="0" borderId="0" xfId="2"/>
    <xf numFmtId="165" fontId="14" fillId="0" borderId="0" xfId="2" applyNumberFormat="1"/>
    <xf numFmtId="0" fontId="2" fillId="0" borderId="0" xfId="3" applyAlignment="1">
      <alignment horizontal="right"/>
    </xf>
    <xf numFmtId="22" fontId="2" fillId="0" borderId="0" xfId="3" applyNumberFormat="1" applyAlignment="1">
      <alignment horizontal="right"/>
    </xf>
    <xf numFmtId="0" fontId="5" fillId="0" borderId="0" xfId="2" applyFont="1" applyAlignment="1">
      <alignment horizontal="left"/>
    </xf>
    <xf numFmtId="164" fontId="0" fillId="0" borderId="0" xfId="0" applyNumberFormat="1"/>
    <xf numFmtId="166" fontId="0" fillId="0" borderId="0" xfId="0" applyNumberFormat="1"/>
    <xf numFmtId="0" fontId="0" fillId="5" borderId="0" xfId="0" applyFill="1"/>
    <xf numFmtId="0" fontId="0" fillId="5" borderId="0" xfId="0" applyFill="1" applyAlignment="1">
      <alignment horizontal="centerContinuous"/>
    </xf>
    <xf numFmtId="1" fontId="0" fillId="0" borderId="0" xfId="0" applyNumberFormat="1"/>
    <xf numFmtId="0" fontId="15" fillId="0" borderId="0" xfId="0" applyFont="1" applyAlignment="1">
      <alignment horizontal="centerContinuous" vertical="center"/>
    </xf>
    <xf numFmtId="0" fontId="0" fillId="0" borderId="0" xfId="0" applyAlignment="1">
      <alignment horizontal="centerContinuous" vertical="center"/>
    </xf>
    <xf numFmtId="0" fontId="16" fillId="5" borderId="0" xfId="0" applyFont="1" applyFill="1"/>
    <xf numFmtId="0" fontId="3" fillId="5" borderId="0" xfId="1" applyNumberFormat="1" applyFont="1" applyFill="1" applyAlignment="1">
      <alignment horizontal="left"/>
    </xf>
    <xf numFmtId="0" fontId="8" fillId="2" borderId="4" xfId="0" applyFont="1" applyFill="1" applyBorder="1" applyAlignment="1">
      <alignment horizontal="center"/>
    </xf>
    <xf numFmtId="0" fontId="0" fillId="0" borderId="4" xfId="0" applyBorder="1"/>
    <xf numFmtId="41" fontId="0" fillId="0" borderId="4" xfId="1" applyFont="1" applyBorder="1"/>
    <xf numFmtId="0" fontId="8" fillId="2" borderId="0" xfId="0" applyFont="1" applyFill="1" applyAlignment="1">
      <alignment horizontal="center"/>
    </xf>
    <xf numFmtId="41" fontId="0" fillId="0" borderId="15" xfId="1" applyFont="1" applyFill="1" applyBorder="1"/>
    <xf numFmtId="41" fontId="0" fillId="0" borderId="0" xfId="1" applyFont="1" applyFill="1" applyBorder="1"/>
    <xf numFmtId="41" fontId="0" fillId="0" borderId="4" xfId="1" applyFont="1" applyFill="1" applyBorder="1"/>
    <xf numFmtId="41" fontId="0" fillId="7" borderId="0" xfId="1" applyFont="1" applyFill="1"/>
    <xf numFmtId="14" fontId="0" fillId="0" borderId="17" xfId="1" applyNumberFormat="1" applyFont="1" applyBorder="1" applyAlignment="1">
      <alignment horizontal="left"/>
    </xf>
    <xf numFmtId="41" fontId="0" fillId="7" borderId="0" xfId="0" applyNumberFormat="1" applyFill="1"/>
    <xf numFmtId="0" fontId="4" fillId="9" borderId="18" xfId="0" applyFont="1" applyFill="1" applyBorder="1" applyAlignment="1">
      <alignment horizontal="center"/>
    </xf>
    <xf numFmtId="0" fontId="19" fillId="10" borderId="0" xfId="0" applyFont="1" applyFill="1"/>
    <xf numFmtId="164" fontId="19" fillId="10" borderId="0" xfId="0" applyNumberFormat="1" applyFont="1" applyFill="1"/>
    <xf numFmtId="166" fontId="3" fillId="5" borderId="0" xfId="1" applyNumberFormat="1" applyFont="1" applyFill="1" applyAlignment="1">
      <alignment horizontal="left"/>
    </xf>
    <xf numFmtId="41" fontId="5" fillId="0" borderId="0" xfId="0" applyNumberFormat="1" applyFont="1"/>
    <xf numFmtId="0" fontId="0" fillId="0" borderId="8" xfId="0" applyBorder="1"/>
    <xf numFmtId="41" fontId="0" fillId="0" borderId="2" xfId="1" applyFont="1" applyBorder="1"/>
    <xf numFmtId="41" fontId="0" fillId="0" borderId="2" xfId="1" applyFont="1" applyFill="1" applyBorder="1"/>
    <xf numFmtId="0" fontId="8" fillId="2" borderId="19" xfId="0" applyFont="1" applyFill="1" applyBorder="1" applyAlignment="1">
      <alignment horizontal="center"/>
    </xf>
    <xf numFmtId="0" fontId="8" fillId="2" borderId="17" xfId="0" applyFont="1" applyFill="1" applyBorder="1" applyAlignment="1">
      <alignment horizontal="center"/>
    </xf>
    <xf numFmtId="0" fontId="8" fillId="2" borderId="20" xfId="0" applyFont="1" applyFill="1" applyBorder="1" applyAlignment="1">
      <alignment horizontal="center"/>
    </xf>
    <xf numFmtId="0" fontId="0" fillId="0" borderId="12" xfId="0" applyBorder="1"/>
    <xf numFmtId="0" fontId="0" fillId="0" borderId="13" xfId="0" applyBorder="1"/>
    <xf numFmtId="41" fontId="0" fillId="0" borderId="13" xfId="1" applyFont="1" applyFill="1" applyBorder="1"/>
    <xf numFmtId="41" fontId="0" fillId="0" borderId="14" xfId="1" applyFont="1" applyFill="1" applyBorder="1"/>
    <xf numFmtId="14" fontId="0" fillId="0" borderId="0" xfId="0" applyNumberFormat="1"/>
    <xf numFmtId="41" fontId="0" fillId="0" borderId="0" xfId="0" applyNumberFormat="1" applyAlignment="1">
      <alignment horizontal="center" vertical="center"/>
    </xf>
    <xf numFmtId="0" fontId="0" fillId="0" borderId="0" xfId="0" applyAlignment="1">
      <alignment horizontal="center" vertical="center"/>
    </xf>
    <xf numFmtId="164" fontId="0" fillId="7" borderId="0" xfId="0" applyNumberFormat="1" applyFill="1"/>
    <xf numFmtId="9" fontId="0" fillId="7" borderId="0" xfId="0" applyNumberFormat="1" applyFill="1"/>
    <xf numFmtId="6" fontId="0" fillId="0" borderId="0" xfId="0" applyNumberFormat="1"/>
    <xf numFmtId="6" fontId="0" fillId="0" borderId="0" xfId="1" applyNumberFormat="1" applyFont="1"/>
    <xf numFmtId="0" fontId="20" fillId="0" borderId="0" xfId="0" applyFont="1" applyAlignment="1">
      <alignment vertical="center"/>
    </xf>
    <xf numFmtId="0" fontId="5" fillId="0" borderId="0" xfId="0" applyFont="1" applyAlignment="1">
      <alignment horizontal="left" vertical="center" indent="1"/>
    </xf>
    <xf numFmtId="0" fontId="9" fillId="11" borderId="0" xfId="0" applyFont="1" applyFill="1"/>
    <xf numFmtId="6" fontId="5" fillId="0" borderId="0" xfId="0" applyNumberFormat="1" applyFont="1"/>
    <xf numFmtId="6" fontId="21" fillId="0" borderId="0" xfId="0" applyNumberFormat="1" applyFont="1"/>
    <xf numFmtId="0" fontId="22" fillId="0" borderId="0" xfId="0" applyFont="1" applyAlignment="1">
      <alignment horizontal="right"/>
    </xf>
    <xf numFmtId="0" fontId="12" fillId="0" borderId="0" xfId="0" applyFont="1" applyAlignment="1">
      <alignment horizontal="right"/>
    </xf>
    <xf numFmtId="0" fontId="5" fillId="0" borderId="0" xfId="0" applyFont="1" applyAlignment="1">
      <alignment horizontal="center" vertical="center"/>
    </xf>
    <xf numFmtId="0" fontId="0" fillId="12" borderId="0" xfId="0" applyFill="1"/>
    <xf numFmtId="0" fontId="23" fillId="0" borderId="0" xfId="0" applyFont="1"/>
    <xf numFmtId="0" fontId="24" fillId="0" borderId="0" xfId="0" applyFont="1" applyAlignment="1">
      <alignment horizontal="left" vertical="center"/>
    </xf>
    <xf numFmtId="0" fontId="25" fillId="0" borderId="0" xfId="0" applyFont="1" applyAlignment="1">
      <alignment horizontal="left" vertical="center"/>
    </xf>
    <xf numFmtId="0" fontId="22" fillId="0" borderId="16" xfId="0" applyFont="1" applyBorder="1"/>
    <xf numFmtId="41" fontId="5" fillId="0" borderId="16" xfId="1" applyFont="1" applyBorder="1"/>
    <xf numFmtId="0" fontId="0" fillId="0" borderId="0" xfId="0" applyAlignment="1">
      <alignment horizontal="left" vertical="center" indent="1"/>
    </xf>
    <xf numFmtId="6" fontId="0" fillId="0" borderId="0" xfId="0" applyNumberFormat="1" applyAlignment="1">
      <alignment horizontal="center"/>
    </xf>
    <xf numFmtId="6" fontId="0" fillId="0" borderId="0" xfId="1" applyNumberFormat="1" applyFont="1" applyAlignment="1">
      <alignment horizontal="center"/>
    </xf>
    <xf numFmtId="0" fontId="0" fillId="13" borderId="0" xfId="0" applyFill="1"/>
    <xf numFmtId="0" fontId="5" fillId="0" borderId="0" xfId="0" applyFont="1" applyAlignment="1">
      <alignment horizontal="center" vertical="center" wrapText="1"/>
    </xf>
    <xf numFmtId="0" fontId="0" fillId="0" borderId="0" xfId="0" applyAlignment="1">
      <alignment vertical="center" wrapText="1"/>
    </xf>
    <xf numFmtId="9" fontId="0" fillId="0" borderId="0" xfId="0" applyNumberFormat="1" applyAlignment="1">
      <alignment vertical="center" wrapText="1"/>
    </xf>
    <xf numFmtId="0" fontId="5" fillId="0" borderId="0" xfId="0" applyFont="1" applyAlignment="1">
      <alignment vertical="center" wrapText="1"/>
    </xf>
    <xf numFmtId="6" fontId="0" fillId="0" borderId="0" xfId="0" applyNumberFormat="1" applyAlignment="1">
      <alignment vertical="center" wrapText="1"/>
    </xf>
    <xf numFmtId="0" fontId="27" fillId="7" borderId="0" xfId="0" applyFont="1" applyFill="1" applyAlignment="1">
      <alignment vertical="center" wrapText="1"/>
    </xf>
    <xf numFmtId="0" fontId="27" fillId="7" borderId="0" xfId="0" applyFont="1" applyFill="1"/>
    <xf numFmtId="6" fontId="27" fillId="7" borderId="0" xfId="0" applyNumberFormat="1" applyFont="1" applyFill="1" applyAlignment="1">
      <alignment vertical="center" wrapText="1"/>
    </xf>
    <xf numFmtId="6" fontId="28" fillId="7" borderId="0" xfId="0" applyNumberFormat="1" applyFont="1" applyFill="1" applyAlignment="1">
      <alignment vertical="center" wrapText="1"/>
    </xf>
    <xf numFmtId="14" fontId="5" fillId="0" borderId="0" xfId="0" applyNumberFormat="1" applyFont="1"/>
    <xf numFmtId="41" fontId="5" fillId="0" borderId="0" xfId="1" applyFont="1"/>
    <xf numFmtId="41" fontId="0" fillId="0" borderId="0" xfId="1" applyFont="1" applyAlignment="1">
      <alignment vertical="center" wrapText="1"/>
    </xf>
    <xf numFmtId="6" fontId="0" fillId="0" borderId="0" xfId="1" applyNumberFormat="1" applyFont="1" applyAlignment="1">
      <alignment vertical="center" wrapText="1"/>
    </xf>
    <xf numFmtId="6" fontId="5" fillId="0" borderId="0" xfId="1" applyNumberFormat="1" applyFont="1" applyAlignment="1">
      <alignment vertical="center" wrapText="1"/>
    </xf>
    <xf numFmtId="0" fontId="5" fillId="0" borderId="0" xfId="0" applyFont="1" applyAlignment="1">
      <alignment horizontal="right"/>
    </xf>
    <xf numFmtId="0" fontId="5" fillId="0" borderId="0" xfId="0" applyFont="1" applyAlignment="1">
      <alignment horizontal="right" indent="1"/>
    </xf>
    <xf numFmtId="0" fontId="0" fillId="14" borderId="0" xfId="0" applyFill="1"/>
    <xf numFmtId="41" fontId="5" fillId="0" borderId="21" xfId="1" applyFont="1" applyBorder="1"/>
    <xf numFmtId="6" fontId="28" fillId="0" borderId="0" xfId="1" applyNumberFormat="1" applyFont="1"/>
    <xf numFmtId="0" fontId="29" fillId="0" borderId="0" xfId="0" applyFont="1" applyAlignment="1">
      <alignment vertical="center" wrapText="1"/>
    </xf>
    <xf numFmtId="6" fontId="5" fillId="0" borderId="0" xfId="0" applyNumberFormat="1" applyFont="1" applyAlignment="1">
      <alignment vertical="center" wrapText="1"/>
    </xf>
    <xf numFmtId="6" fontId="0" fillId="0" borderId="0" xfId="0" applyNumberFormat="1" applyAlignment="1">
      <alignment horizontal="left"/>
    </xf>
    <xf numFmtId="4" fontId="4" fillId="0" borderId="0" xfId="0" applyNumberFormat="1" applyFont="1" applyAlignment="1">
      <alignment horizontal="centerContinuous" vertical="center"/>
    </xf>
    <xf numFmtId="4" fontId="0" fillId="0" borderId="0" xfId="0" applyNumberFormat="1" applyAlignment="1">
      <alignment horizontal="centerContinuous" vertical="center"/>
    </xf>
    <xf numFmtId="0" fontId="0" fillId="0" borderId="0" xfId="0" applyAlignment="1">
      <alignment horizontal="left" indent="1"/>
    </xf>
    <xf numFmtId="8" fontId="0" fillId="0" borderId="0" xfId="0" applyNumberFormat="1"/>
    <xf numFmtId="0" fontId="30" fillId="15" borderId="0" xfId="0" applyFont="1" applyFill="1"/>
    <xf numFmtId="41" fontId="30" fillId="15" borderId="0" xfId="0" applyNumberFormat="1" applyFont="1" applyFill="1"/>
    <xf numFmtId="41" fontId="30" fillId="15" borderId="0" xfId="1" applyFont="1" applyFill="1"/>
    <xf numFmtId="167" fontId="0" fillId="0" borderId="0" xfId="0" applyNumberFormat="1" applyAlignment="1">
      <alignment horizontal="centerContinuous" vertical="center"/>
    </xf>
    <xf numFmtId="0" fontId="31" fillId="0" borderId="0" xfId="0" applyFont="1" applyAlignment="1">
      <alignment horizontal="centerContinuous" vertical="center"/>
    </xf>
    <xf numFmtId="14" fontId="0" fillId="0" borderId="0" xfId="1" applyNumberFormat="1" applyFont="1" applyBorder="1" applyAlignment="1">
      <alignment horizontal="left"/>
    </xf>
    <xf numFmtId="14" fontId="0" fillId="0" borderId="0" xfId="1" applyNumberFormat="1" applyFont="1" applyFill="1" applyBorder="1" applyAlignment="1">
      <alignment horizontal="left"/>
    </xf>
    <xf numFmtId="0" fontId="7" fillId="16" borderId="0" xfId="0" applyFont="1" applyFill="1" applyAlignment="1">
      <alignment horizontal="center" vertical="center"/>
    </xf>
    <xf numFmtId="164" fontId="0" fillId="0" borderId="0" xfId="1" applyNumberFormat="1" applyFont="1" applyFill="1" applyBorder="1" applyAlignment="1">
      <alignment horizontal="left"/>
    </xf>
    <xf numFmtId="14" fontId="0" fillId="0" borderId="16" xfId="1" applyNumberFormat="1" applyFont="1" applyBorder="1" applyAlignment="1">
      <alignment horizontal="left"/>
    </xf>
    <xf numFmtId="14" fontId="0" fillId="0" borderId="3" xfId="1" applyNumberFormat="1" applyFont="1" applyFill="1" applyBorder="1" applyAlignment="1">
      <alignment horizontal="left"/>
    </xf>
    <xf numFmtId="0" fontId="8" fillId="17" borderId="0" xfId="0" applyFont="1" applyFill="1" applyAlignment="1">
      <alignment horizontal="center" vertical="center"/>
    </xf>
    <xf numFmtId="14" fontId="0" fillId="0" borderId="0" xfId="0" applyNumberFormat="1" applyAlignment="1">
      <alignment horizontal="left"/>
    </xf>
    <xf numFmtId="14" fontId="0" fillId="0" borderId="0" xfId="0" applyNumberFormat="1" applyAlignment="1">
      <alignment horizontal="left" vertical="top"/>
    </xf>
    <xf numFmtId="166" fontId="0" fillId="0" borderId="0" xfId="0" applyNumberFormat="1" applyAlignment="1">
      <alignment horizontal="center"/>
    </xf>
    <xf numFmtId="0" fontId="18" fillId="17" borderId="0" xfId="0" applyFont="1" applyFill="1"/>
    <xf numFmtId="0" fontId="19" fillId="17" borderId="0" xfId="0" applyFont="1" applyFill="1"/>
    <xf numFmtId="164" fontId="19" fillId="17" borderId="0" xfId="0" applyNumberFormat="1" applyFont="1" applyFill="1"/>
    <xf numFmtId="6" fontId="19" fillId="17" borderId="0" xfId="1" applyNumberFormat="1" applyFont="1" applyFill="1" applyBorder="1" applyAlignment="1"/>
    <xf numFmtId="6" fontId="19" fillId="17" borderId="0" xfId="1" applyNumberFormat="1" applyFont="1" applyFill="1" applyBorder="1"/>
    <xf numFmtId="164" fontId="18" fillId="16" borderId="0" xfId="0" applyNumberFormat="1" applyFont="1" applyFill="1"/>
    <xf numFmtId="0" fontId="18" fillId="16" borderId="0" xfId="0" applyFont="1" applyFill="1"/>
    <xf numFmtId="164" fontId="19" fillId="16" borderId="0" xfId="0" applyNumberFormat="1" applyFont="1" applyFill="1"/>
    <xf numFmtId="0" fontId="19" fillId="16" borderId="0" xfId="0" applyFont="1" applyFill="1"/>
    <xf numFmtId="41" fontId="19" fillId="17" borderId="0" xfId="0" applyNumberFormat="1" applyFont="1" applyFill="1"/>
    <xf numFmtId="0" fontId="7" fillId="2" borderId="19" xfId="0" applyFont="1" applyFill="1" applyBorder="1" applyAlignment="1">
      <alignment horizontal="center"/>
    </xf>
    <xf numFmtId="0" fontId="7" fillId="17" borderId="0" xfId="0" applyFont="1" applyFill="1" applyAlignment="1">
      <alignment horizontal="center" vertical="center"/>
    </xf>
    <xf numFmtId="0" fontId="7" fillId="9" borderId="3" xfId="0" applyFont="1" applyFill="1" applyBorder="1" applyAlignment="1">
      <alignment horizontal="center" vertical="center"/>
    </xf>
    <xf numFmtId="41" fontId="0" fillId="0" borderId="0" xfId="1" applyFont="1" applyBorder="1" applyAlignment="1">
      <alignment horizontal="center"/>
    </xf>
    <xf numFmtId="0" fontId="32" fillId="0" borderId="0" xfId="0" applyFont="1" applyAlignment="1">
      <alignment horizontal="centerContinuous" vertical="center"/>
    </xf>
    <xf numFmtId="0" fontId="5" fillId="0" borderId="16" xfId="0" applyFont="1" applyBorder="1" applyAlignment="1">
      <alignment horizontal="center" vertical="center" wrapText="1"/>
    </xf>
    <xf numFmtId="0" fontId="12" fillId="0" borderId="24" xfId="0" applyFont="1" applyBorder="1"/>
    <xf numFmtId="6" fontId="12" fillId="0" borderId="24" xfId="0" applyNumberFormat="1" applyFont="1" applyBorder="1"/>
    <xf numFmtId="41" fontId="33" fillId="15" borderId="0" xfId="1" applyFont="1" applyFill="1"/>
    <xf numFmtId="0" fontId="34" fillId="5" borderId="0" xfId="1" applyNumberFormat="1" applyFont="1" applyFill="1" applyAlignment="1">
      <alignment horizontal="center"/>
    </xf>
    <xf numFmtId="41" fontId="5" fillId="7" borderId="0" xfId="1" applyFont="1" applyFill="1"/>
    <xf numFmtId="41" fontId="3" fillId="6" borderId="0" xfId="1" applyFont="1" applyFill="1" applyAlignment="1">
      <alignment horizontal="center"/>
    </xf>
    <xf numFmtId="41" fontId="28" fillId="0" borderId="0" xfId="1" applyFont="1"/>
    <xf numFmtId="0" fontId="6" fillId="0" borderId="0" xfId="2" applyFont="1" applyAlignment="1">
      <alignment horizontal="left"/>
    </xf>
    <xf numFmtId="0" fontId="14" fillId="0" borderId="4" xfId="2" applyBorder="1" applyAlignment="1">
      <alignment horizontal="center"/>
    </xf>
    <xf numFmtId="0" fontId="14" fillId="0" borderId="4" xfId="2" applyBorder="1"/>
    <xf numFmtId="4" fontId="14" fillId="0" borderId="4" xfId="2" applyNumberFormat="1" applyBorder="1"/>
    <xf numFmtId="0" fontId="14" fillId="0" borderId="8" xfId="2" applyBorder="1" applyAlignment="1">
      <alignment horizontal="center"/>
    </xf>
    <xf numFmtId="14" fontId="14" fillId="0" borderId="8" xfId="2" applyNumberFormat="1" applyBorder="1" applyAlignment="1">
      <alignment horizontal="center"/>
    </xf>
    <xf numFmtId="0" fontId="14" fillId="0" borderId="2" xfId="2" applyBorder="1"/>
    <xf numFmtId="4" fontId="14" fillId="0" borderId="2" xfId="2" applyNumberFormat="1" applyBorder="1"/>
    <xf numFmtId="0" fontId="5" fillId="0" borderId="9" xfId="2" applyFont="1" applyBorder="1" applyAlignment="1">
      <alignment horizontal="center" vertical="center"/>
    </xf>
    <xf numFmtId="0" fontId="5" fillId="0" borderId="10" xfId="2" applyFont="1" applyBorder="1" applyAlignment="1">
      <alignment horizontal="center" vertical="center"/>
    </xf>
    <xf numFmtId="0" fontId="5" fillId="0" borderId="11" xfId="2" applyFont="1" applyBorder="1" applyAlignment="1">
      <alignment horizontal="center" vertical="center"/>
    </xf>
    <xf numFmtId="14" fontId="14" fillId="0" borderId="12" xfId="2" applyNumberFormat="1" applyBorder="1" applyAlignment="1">
      <alignment horizontal="center"/>
    </xf>
    <xf numFmtId="0" fontId="14" fillId="0" borderId="13" xfId="2" applyBorder="1" applyAlignment="1">
      <alignment horizontal="center"/>
    </xf>
    <xf numFmtId="0" fontId="14" fillId="0" borderId="13" xfId="2" applyBorder="1"/>
    <xf numFmtId="4" fontId="14" fillId="0" borderId="13" xfId="2" applyNumberFormat="1" applyBorder="1"/>
    <xf numFmtId="4" fontId="14" fillId="0" borderId="14" xfId="2" applyNumberFormat="1" applyBorder="1"/>
    <xf numFmtId="41" fontId="14" fillId="0" borderId="4" xfId="4" applyFont="1" applyBorder="1"/>
    <xf numFmtId="41" fontId="14" fillId="0" borderId="2" xfId="4" applyFont="1" applyBorder="1"/>
    <xf numFmtId="41" fontId="14" fillId="0" borderId="13" xfId="4" applyFont="1" applyBorder="1"/>
    <xf numFmtId="3" fontId="14" fillId="0" borderId="2" xfId="2" applyNumberFormat="1" applyBorder="1"/>
    <xf numFmtId="3" fontId="14" fillId="0" borderId="4" xfId="2" applyNumberFormat="1" applyBorder="1"/>
    <xf numFmtId="3" fontId="14" fillId="0" borderId="13" xfId="2" applyNumberFormat="1" applyBorder="1"/>
    <xf numFmtId="41" fontId="0" fillId="0" borderId="13" xfId="4" applyFont="1" applyBorder="1"/>
    <xf numFmtId="41" fontId="0" fillId="0" borderId="14" xfId="4" applyFont="1" applyBorder="1"/>
    <xf numFmtId="41" fontId="14" fillId="0" borderId="13" xfId="4" applyFont="1" applyFill="1" applyBorder="1" applyAlignment="1">
      <alignment horizontal="center"/>
    </xf>
    <xf numFmtId="41" fontId="14" fillId="0" borderId="13" xfId="4" applyFont="1" applyFill="1" applyBorder="1"/>
    <xf numFmtId="41" fontId="5" fillId="0" borderId="11" xfId="4" applyFont="1" applyBorder="1" applyAlignment="1">
      <alignment horizontal="center" vertical="center"/>
    </xf>
    <xf numFmtId="0" fontId="2" fillId="0" borderId="4" xfId="2" applyFont="1" applyBorder="1"/>
    <xf numFmtId="0" fontId="2" fillId="0" borderId="13" xfId="2" applyFont="1" applyBorder="1"/>
    <xf numFmtId="0" fontId="24" fillId="0" borderId="0" xfId="0" applyFont="1" applyAlignment="1">
      <alignment horizontal="left" vertical="center" indent="3"/>
    </xf>
    <xf numFmtId="0" fontId="25" fillId="0" borderId="0" xfId="0" applyFont="1" applyAlignment="1">
      <alignment horizontal="left" vertical="center" indent="3"/>
    </xf>
    <xf numFmtId="0" fontId="0" fillId="0" borderId="24" xfId="0" applyBorder="1"/>
    <xf numFmtId="41" fontId="5" fillId="0" borderId="26" xfId="0" applyNumberFormat="1" applyFont="1" applyBorder="1"/>
    <xf numFmtId="0" fontId="4" fillId="0" borderId="0" xfId="0" applyFont="1" applyAlignment="1">
      <alignment horizontal="centerContinuous" vertical="center"/>
    </xf>
    <xf numFmtId="0" fontId="4" fillId="5" borderId="26" xfId="0" applyFont="1" applyFill="1" applyBorder="1" applyAlignment="1">
      <alignment horizontal="centerContinuous" vertical="center"/>
    </xf>
    <xf numFmtId="0" fontId="36" fillId="5" borderId="26" xfId="0" applyFont="1" applyFill="1" applyBorder="1" applyAlignment="1">
      <alignment horizontal="centerContinuous" vertical="center"/>
    </xf>
    <xf numFmtId="0" fontId="4" fillId="17" borderId="27" xfId="0" applyFont="1" applyFill="1" applyBorder="1" applyAlignment="1">
      <alignment horizontal="centerContinuous" vertical="center"/>
    </xf>
    <xf numFmtId="0" fontId="9" fillId="18" borderId="22" xfId="0" applyFont="1" applyFill="1" applyBorder="1" applyAlignment="1">
      <alignment horizontal="center" vertical="center" wrapText="1"/>
    </xf>
    <xf numFmtId="0" fontId="9" fillId="18" borderId="0" xfId="0" applyFont="1" applyFill="1" applyAlignment="1">
      <alignment horizontal="center" vertical="center" wrapText="1"/>
    </xf>
    <xf numFmtId="0" fontId="9" fillId="18" borderId="23" xfId="0" applyFont="1" applyFill="1" applyBorder="1" applyAlignment="1">
      <alignment horizontal="center" vertical="center" wrapText="1"/>
    </xf>
    <xf numFmtId="166" fontId="0" fillId="0" borderId="0" xfId="0" applyNumberFormat="1" applyAlignment="1">
      <alignment horizontal="left" vertical="top" wrapText="1"/>
    </xf>
    <xf numFmtId="3" fontId="0" fillId="0" borderId="0" xfId="0" applyNumberFormat="1" applyAlignment="1">
      <alignment horizontal="center" vertical="center" wrapText="1"/>
    </xf>
    <xf numFmtId="166" fontId="0" fillId="0" borderId="24" xfId="0" applyNumberFormat="1" applyBorder="1" applyAlignment="1">
      <alignment horizontal="left" vertical="top" wrapText="1"/>
    </xf>
    <xf numFmtId="6" fontId="0" fillId="0" borderId="24" xfId="1" applyNumberFormat="1" applyFont="1" applyBorder="1"/>
    <xf numFmtId="6" fontId="0" fillId="0" borderId="12" xfId="1" applyNumberFormat="1" applyFont="1" applyBorder="1"/>
    <xf numFmtId="6" fontId="0" fillId="0" borderId="25" xfId="0" applyNumberFormat="1" applyBorder="1"/>
    <xf numFmtId="3" fontId="0" fillId="0" borderId="16" xfId="0" applyNumberFormat="1" applyBorder="1" applyAlignment="1">
      <alignment horizontal="center" vertical="center" wrapText="1"/>
    </xf>
    <xf numFmtId="6" fontId="0" fillId="0" borderId="16" xfId="0" applyNumberFormat="1" applyBorder="1"/>
    <xf numFmtId="6" fontId="0" fillId="0" borderId="19" xfId="0" applyNumberFormat="1" applyBorder="1"/>
    <xf numFmtId="0" fontId="0" fillId="0" borderId="14" xfId="0" applyBorder="1" applyAlignment="1">
      <alignment horizontal="center"/>
    </xf>
    <xf numFmtId="0" fontId="0" fillId="0" borderId="1" xfId="0" applyBorder="1" applyAlignment="1">
      <alignment horizontal="center" vertical="center" wrapText="1"/>
    </xf>
    <xf numFmtId="0" fontId="0" fillId="0" borderId="20" xfId="0" applyBorder="1" applyAlignment="1">
      <alignment horizontal="center" vertical="center" wrapText="1"/>
    </xf>
    <xf numFmtId="0" fontId="9" fillId="19" borderId="0" xfId="0" applyFont="1" applyFill="1" applyAlignment="1">
      <alignment horizontal="center" vertical="center" wrapText="1"/>
    </xf>
    <xf numFmtId="0" fontId="9" fillId="19" borderId="23" xfId="0" applyFont="1" applyFill="1" applyBorder="1" applyAlignment="1">
      <alignment horizontal="center" vertical="center" wrapText="1"/>
    </xf>
    <xf numFmtId="0" fontId="5" fillId="16" borderId="0" xfId="0" applyFont="1" applyFill="1" applyAlignment="1">
      <alignment horizontal="center" vertical="center" wrapText="1"/>
    </xf>
    <xf numFmtId="0" fontId="4" fillId="16" borderId="27" xfId="0" applyFont="1" applyFill="1" applyBorder="1" applyAlignment="1">
      <alignment horizontal="centerContinuous" vertical="center"/>
    </xf>
    <xf numFmtId="14" fontId="0" fillId="0" borderId="24" xfId="0" applyNumberFormat="1" applyBorder="1" applyAlignment="1">
      <alignment vertical="center" wrapText="1"/>
    </xf>
    <xf numFmtId="0" fontId="0" fillId="0" borderId="24" xfId="0" applyBorder="1" applyAlignment="1">
      <alignment vertical="center" wrapText="1"/>
    </xf>
    <xf numFmtId="3" fontId="0" fillId="0" borderId="12" xfId="0" applyNumberFormat="1" applyBorder="1" applyAlignment="1">
      <alignment vertical="center" wrapText="1"/>
    </xf>
    <xf numFmtId="14" fontId="0" fillId="0" borderId="0" xfId="0" applyNumberFormat="1" applyAlignment="1">
      <alignment vertical="center" wrapText="1"/>
    </xf>
    <xf numFmtId="3" fontId="0" fillId="0" borderId="0" xfId="0" applyNumberFormat="1" applyAlignment="1">
      <alignment vertical="center" wrapText="1"/>
    </xf>
    <xf numFmtId="3" fontId="0" fillId="0" borderId="25" xfId="0" applyNumberFormat="1" applyBorder="1" applyAlignment="1">
      <alignment vertical="center" wrapText="1"/>
    </xf>
    <xf numFmtId="14" fontId="0" fillId="0" borderId="16" xfId="0" applyNumberFormat="1" applyBorder="1" applyAlignment="1">
      <alignment vertical="center" wrapText="1"/>
    </xf>
    <xf numFmtId="3" fontId="0" fillId="0" borderId="16" xfId="0" applyNumberFormat="1" applyBorder="1" applyAlignment="1">
      <alignment vertical="center" wrapText="1"/>
    </xf>
    <xf numFmtId="3" fontId="0" fillId="0" borderId="19" xfId="0" applyNumberFormat="1" applyBorder="1" applyAlignment="1">
      <alignment vertical="center" wrapText="1"/>
    </xf>
    <xf numFmtId="0" fontId="0" fillId="0" borderId="14" xfId="0" applyBorder="1" applyAlignment="1">
      <alignment horizontal="center" vertical="center" wrapText="1"/>
    </xf>
    <xf numFmtId="17" fontId="5" fillId="0" borderId="0" xfId="0" applyNumberFormat="1" applyFont="1"/>
    <xf numFmtId="3" fontId="0" fillId="0" borderId="0" xfId="0" applyNumberFormat="1"/>
    <xf numFmtId="0" fontId="0" fillId="0" borderId="0" xfId="0" quotePrefix="1"/>
    <xf numFmtId="41" fontId="12" fillId="0" borderId="0" xfId="1" applyFont="1" applyAlignment="1">
      <alignment horizontal="right"/>
    </xf>
    <xf numFmtId="0" fontId="5" fillId="0" borderId="0" xfId="2" applyFont="1" applyAlignment="1">
      <alignment horizontal="right"/>
    </xf>
    <xf numFmtId="166" fontId="0" fillId="0" borderId="16" xfId="0" applyNumberFormat="1" applyBorder="1" applyAlignment="1">
      <alignment horizontal="center" vertical="center" wrapText="1"/>
    </xf>
    <xf numFmtId="0" fontId="0" fillId="0" borderId="1" xfId="0" applyBorder="1" applyAlignment="1">
      <alignment horizontal="center"/>
    </xf>
    <xf numFmtId="166" fontId="0" fillId="0" borderId="16" xfId="0" applyNumberFormat="1" applyBorder="1" applyAlignment="1">
      <alignment horizontal="left"/>
    </xf>
    <xf numFmtId="1" fontId="0" fillId="0" borderId="16" xfId="1" applyNumberFormat="1" applyFont="1" applyBorder="1" applyAlignment="1">
      <alignment horizontal="center" vertical="center"/>
    </xf>
    <xf numFmtId="0" fontId="9" fillId="19" borderId="16" xfId="0" applyFont="1" applyFill="1" applyBorder="1" applyAlignment="1">
      <alignment horizontal="center" vertical="center" wrapText="1"/>
    </xf>
    <xf numFmtId="0" fontId="0" fillId="0" borderId="0" xfId="0" applyAlignment="1">
      <alignment wrapText="1"/>
    </xf>
    <xf numFmtId="41" fontId="12" fillId="0" borderId="0" xfId="1" applyFont="1" applyAlignment="1">
      <alignment horizontal="right" wrapText="1"/>
    </xf>
    <xf numFmtId="0" fontId="37" fillId="5" borderId="0" xfId="1" applyNumberFormat="1" applyFont="1" applyFill="1" applyAlignment="1">
      <alignment horizontal="center"/>
    </xf>
    <xf numFmtId="166" fontId="0" fillId="0" borderId="8" xfId="0" applyNumberFormat="1" applyBorder="1"/>
    <xf numFmtId="166" fontId="0" fillId="0" borderId="12" xfId="0" applyNumberFormat="1" applyBorder="1"/>
    <xf numFmtId="41" fontId="0" fillId="0" borderId="13" xfId="1" applyFont="1" applyBorder="1"/>
    <xf numFmtId="41" fontId="0" fillId="0" borderId="14" xfId="1" applyFont="1" applyBorder="1"/>
    <xf numFmtId="165" fontId="35" fillId="0" borderId="0" xfId="2" applyNumberFormat="1" applyFont="1" applyAlignment="1">
      <alignment horizontal="center" vertical="center"/>
    </xf>
    <xf numFmtId="41" fontId="19" fillId="16" borderId="0" xfId="0" applyNumberFormat="1" applyFont="1" applyFill="1"/>
    <xf numFmtId="41" fontId="21" fillId="0" borderId="0" xfId="0" applyNumberFormat="1" applyFont="1"/>
    <xf numFmtId="41" fontId="2" fillId="0" borderId="0" xfId="1" applyFont="1"/>
    <xf numFmtId="0" fontId="26" fillId="11" borderId="0" xfId="0" applyFont="1" applyFill="1" applyAlignment="1">
      <alignment horizontal="center"/>
    </xf>
    <xf numFmtId="41" fontId="26" fillId="11" borderId="0" xfId="1" applyFont="1" applyFill="1" applyAlignment="1">
      <alignment horizontal="center"/>
    </xf>
    <xf numFmtId="166" fontId="0" fillId="0" borderId="0" xfId="1" applyNumberFormat="1" applyFont="1"/>
    <xf numFmtId="0" fontId="18" fillId="0" borderId="0" xfId="3" applyFont="1" applyAlignment="1">
      <alignment horizontal="right"/>
    </xf>
    <xf numFmtId="0" fontId="19" fillId="17" borderId="19" xfId="0" applyFont="1" applyFill="1" applyBorder="1" applyAlignment="1">
      <alignment horizontal="center"/>
    </xf>
    <xf numFmtId="0" fontId="19" fillId="17" borderId="17" xfId="0" applyFont="1" applyFill="1" applyBorder="1" applyAlignment="1">
      <alignment horizontal="center"/>
    </xf>
    <xf numFmtId="0" fontId="19" fillId="17" borderId="20" xfId="0" applyFont="1" applyFill="1" applyBorder="1" applyAlignment="1">
      <alignment horizontal="center"/>
    </xf>
    <xf numFmtId="41" fontId="21" fillId="0" borderId="0" xfId="1" applyFont="1"/>
    <xf numFmtId="41" fontId="38" fillId="0" borderId="0" xfId="1" applyFont="1"/>
    <xf numFmtId="41" fontId="18" fillId="16" borderId="0" xfId="0" applyNumberFormat="1" applyFont="1" applyFill="1"/>
    <xf numFmtId="0" fontId="0" fillId="0" borderId="0" xfId="1" applyNumberFormat="1" applyFont="1"/>
    <xf numFmtId="3" fontId="5" fillId="0" borderId="0" xfId="0" applyNumberFormat="1" applyFont="1" applyAlignment="1">
      <alignment vertical="center" wrapText="1"/>
    </xf>
    <xf numFmtId="10" fontId="0" fillId="0" borderId="0" xfId="0" applyNumberFormat="1" applyAlignment="1">
      <alignment vertical="center" wrapText="1"/>
    </xf>
    <xf numFmtId="0" fontId="0" fillId="20" borderId="0" xfId="0" applyFill="1" applyAlignment="1">
      <alignment vertical="center" wrapText="1"/>
    </xf>
    <xf numFmtId="3" fontId="0" fillId="20" borderId="0" xfId="0" applyNumberFormat="1" applyFill="1" applyAlignment="1">
      <alignment vertical="center" wrapText="1"/>
    </xf>
    <xf numFmtId="3" fontId="5" fillId="20" borderId="0" xfId="0" applyNumberFormat="1" applyFont="1" applyFill="1" applyAlignment="1">
      <alignment vertical="center" wrapText="1"/>
    </xf>
    <xf numFmtId="10" fontId="0" fillId="20" borderId="0" xfId="0" applyNumberFormat="1" applyFill="1" applyAlignment="1">
      <alignment vertical="center" wrapText="1"/>
    </xf>
    <xf numFmtId="0" fontId="9" fillId="5" borderId="0" xfId="0" applyFont="1" applyFill="1" applyAlignment="1">
      <alignment horizontal="center" vertical="center" wrapText="1"/>
    </xf>
    <xf numFmtId="0" fontId="5" fillId="21" borderId="0" xfId="0" applyFont="1" applyFill="1" applyAlignment="1">
      <alignment horizontal="center" vertical="center" wrapText="1"/>
    </xf>
    <xf numFmtId="0" fontId="9" fillId="17" borderId="0" xfId="0" applyFont="1" applyFill="1" applyAlignment="1">
      <alignment horizontal="center" vertical="center" wrapText="1"/>
    </xf>
    <xf numFmtId="0" fontId="39" fillId="22" borderId="0" xfId="0" applyFont="1" applyFill="1" applyAlignment="1">
      <alignment vertical="center" wrapText="1"/>
    </xf>
    <xf numFmtId="0" fontId="0" fillId="20" borderId="0" xfId="0" applyFill="1" applyAlignment="1">
      <alignment horizontal="left" vertical="center" wrapText="1"/>
    </xf>
    <xf numFmtId="0" fontId="0" fillId="24" borderId="0" xfId="0" applyFill="1" applyAlignment="1">
      <alignment horizontal="left" vertical="center" wrapText="1"/>
    </xf>
    <xf numFmtId="0" fontId="0" fillId="22" borderId="0" xfId="0" applyFill="1" applyAlignment="1">
      <alignment horizontal="left" vertical="center" wrapText="1"/>
    </xf>
    <xf numFmtId="0" fontId="0" fillId="23" borderId="0" xfId="0" applyFill="1" applyAlignment="1">
      <alignment horizontal="left" vertical="center" wrapText="1"/>
    </xf>
    <xf numFmtId="0" fontId="40" fillId="16" borderId="0" xfId="0" applyFont="1" applyFill="1"/>
    <xf numFmtId="0" fontId="40" fillId="10" borderId="0" xfId="0" applyFont="1" applyFill="1"/>
    <xf numFmtId="9" fontId="0" fillId="0" borderId="0" xfId="0" applyNumberFormat="1"/>
    <xf numFmtId="0" fontId="5" fillId="20" borderId="0" xfId="0" applyFont="1" applyFill="1" applyAlignment="1">
      <alignment vertical="center" wrapText="1"/>
    </xf>
    <xf numFmtId="0" fontId="0" fillId="25" borderId="0" xfId="0" applyFill="1" applyAlignment="1">
      <alignment vertical="center" wrapText="1"/>
    </xf>
    <xf numFmtId="10" fontId="5" fillId="25" borderId="0" xfId="0" applyNumberFormat="1" applyFont="1" applyFill="1" applyAlignment="1">
      <alignment vertical="center" wrapText="1"/>
    </xf>
    <xf numFmtId="0" fontId="0" fillId="26" borderId="0" xfId="0" applyFill="1" applyAlignment="1">
      <alignment vertical="center" wrapText="1"/>
    </xf>
    <xf numFmtId="0" fontId="5" fillId="26" borderId="0" xfId="0" applyFont="1" applyFill="1" applyAlignment="1">
      <alignment vertical="center" wrapText="1"/>
    </xf>
    <xf numFmtId="0" fontId="7" fillId="10" borderId="0" xfId="0" applyFont="1" applyFill="1" applyAlignment="1">
      <alignment horizontal="center" vertical="center" wrapText="1"/>
    </xf>
    <xf numFmtId="14" fontId="0" fillId="7" borderId="0" xfId="0" applyNumberFormat="1" applyFill="1"/>
    <xf numFmtId="14" fontId="5" fillId="7" borderId="0" xfId="0" applyNumberFormat="1" applyFont="1" applyFill="1"/>
    <xf numFmtId="41" fontId="5" fillId="0" borderId="0" xfId="1" applyFont="1" applyAlignment="1">
      <alignment horizontal="center" vertical="center" wrapText="1"/>
    </xf>
    <xf numFmtId="41" fontId="5" fillId="0" borderId="0" xfId="1" applyFont="1" applyAlignment="1">
      <alignment vertical="center" wrapText="1"/>
    </xf>
    <xf numFmtId="3" fontId="5" fillId="0" borderId="21" xfId="0" applyNumberFormat="1" applyFont="1" applyBorder="1"/>
    <xf numFmtId="41" fontId="5" fillId="0" borderId="21" xfId="0" applyNumberFormat="1" applyFont="1" applyBorder="1"/>
    <xf numFmtId="0" fontId="0" fillId="0" borderId="0" xfId="0" applyAlignment="1">
      <alignment horizontal="right" vertical="center" indent="1"/>
    </xf>
    <xf numFmtId="0" fontId="41" fillId="0" borderId="0" xfId="0" applyFont="1"/>
    <xf numFmtId="0" fontId="42" fillId="0" borderId="0" xfId="0" applyFont="1"/>
    <xf numFmtId="41" fontId="42" fillId="0" borderId="0" xfId="1" applyFont="1"/>
    <xf numFmtId="41" fontId="41" fillId="0" borderId="0" xfId="1" applyFont="1"/>
    <xf numFmtId="0" fontId="9" fillId="27" borderId="30" xfId="0" applyFont="1" applyFill="1" applyBorder="1"/>
    <xf numFmtId="0" fontId="9" fillId="27" borderId="31" xfId="0" applyFont="1" applyFill="1" applyBorder="1"/>
    <xf numFmtId="14" fontId="0" fillId="7" borderId="30" xfId="0" applyNumberFormat="1" applyFill="1" applyBorder="1"/>
    <xf numFmtId="41" fontId="0" fillId="7" borderId="31" xfId="0" applyNumberFormat="1" applyFill="1" applyBorder="1"/>
    <xf numFmtId="14" fontId="5" fillId="7" borderId="28" xfId="0" applyNumberFormat="1" applyFont="1" applyFill="1" applyBorder="1"/>
    <xf numFmtId="41" fontId="5" fillId="7" borderId="29" xfId="1" applyFont="1" applyFill="1" applyBorder="1"/>
    <xf numFmtId="41" fontId="27" fillId="7" borderId="0" xfId="1" applyFont="1" applyFill="1" applyAlignment="1">
      <alignment vertical="center" wrapText="1"/>
    </xf>
    <xf numFmtId="165" fontId="35" fillId="0" borderId="0" xfId="2" applyNumberFormat="1" applyFont="1" applyAlignment="1">
      <alignment horizontal="center" vertical="center"/>
    </xf>
  </cellXfs>
  <cellStyles count="5">
    <cellStyle name="Comma [0]" xfId="1" builtinId="6"/>
    <cellStyle name="Comma [0] 2" xfId="4" xr:uid="{774E871E-C0B2-419A-92E2-D5CC82646B3E}"/>
    <cellStyle name="Normal" xfId="0" builtinId="0"/>
    <cellStyle name="Normal 18" xfId="3" xr:uid="{D5D5A817-DFC6-4EE3-BBCF-C95662D0F726}"/>
    <cellStyle name="Normal 5" xfId="2" xr:uid="{B745817A-7506-4268-B3A5-7F8617029B9F}"/>
  </cellStyles>
  <dxfs count="155">
    <dxf>
      <fill>
        <patternFill>
          <bgColor rgb="FF1F7D53"/>
        </patternFill>
      </fill>
    </dxf>
    <dxf>
      <fill>
        <patternFill>
          <bgColor rgb="FF1F7D53"/>
        </patternFill>
      </fill>
    </dxf>
    <dxf>
      <fill>
        <patternFill>
          <bgColor rgb="FF1F7D53"/>
        </patternFill>
      </fill>
    </dxf>
    <dxf>
      <fill>
        <patternFill>
          <bgColor rgb="FF1F7D53"/>
        </patternFill>
      </fill>
    </dxf>
    <dxf>
      <fill>
        <patternFill>
          <bgColor rgb="FF1F7D53"/>
        </patternFill>
      </fill>
    </dxf>
    <dxf>
      <fill>
        <patternFill>
          <bgColor rgb="FF1F7D53"/>
        </patternFill>
      </fill>
    </dxf>
    <dxf>
      <fill>
        <patternFill>
          <bgColor rgb="FF255F38"/>
        </patternFill>
      </fill>
    </dxf>
    <dxf>
      <fill>
        <patternFill>
          <bgColor rgb="FF577B8D"/>
        </patternFill>
      </fill>
    </dxf>
    <dxf>
      <fill>
        <patternFill>
          <bgColor rgb="FF344C64"/>
        </patternFill>
      </fill>
    </dxf>
    <dxf>
      <fill>
        <patternFill>
          <bgColor rgb="FF240750"/>
        </patternFill>
      </fill>
    </dxf>
    <dxf>
      <fill>
        <patternFill>
          <bgColor rgb="FF27391C"/>
        </patternFill>
      </fill>
    </dxf>
    <dxf>
      <fill>
        <patternFill>
          <bgColor rgb="FF1F7D53"/>
        </patternFill>
      </fill>
    </dxf>
    <dxf>
      <fill>
        <patternFill>
          <bgColor rgb="FF57A6A1"/>
        </patternFill>
      </fill>
    </dxf>
    <dxf>
      <fill>
        <patternFill>
          <bgColor rgb="FFC95792"/>
        </patternFill>
      </fill>
    </dxf>
    <dxf>
      <fill>
        <patternFill>
          <bgColor rgb="FF1F7D53"/>
        </patternFill>
      </fill>
    </dxf>
    <dxf>
      <fill>
        <patternFill>
          <bgColor rgb="FF1F7D53"/>
        </patternFill>
      </fill>
    </dxf>
    <dxf>
      <fill>
        <patternFill>
          <bgColor rgb="FF344C64"/>
        </patternFill>
      </fill>
    </dxf>
    <dxf>
      <fill>
        <patternFill>
          <bgColor rgb="FF240750"/>
        </patternFill>
      </fill>
    </dxf>
    <dxf>
      <fill>
        <patternFill>
          <bgColor rgb="FFA53860"/>
        </patternFill>
      </fill>
    </dxf>
    <dxf>
      <fill>
        <patternFill>
          <bgColor rgb="FF57A6A1"/>
        </patternFill>
      </fill>
    </dxf>
    <dxf>
      <fill>
        <patternFill>
          <bgColor rgb="FF577B8D"/>
        </patternFill>
      </fill>
    </dxf>
    <dxf>
      <fill>
        <patternFill>
          <bgColor rgb="FF255F38"/>
        </patternFill>
      </fill>
    </dxf>
    <dxf>
      <fill>
        <patternFill>
          <bgColor rgb="FF27391C"/>
        </patternFill>
      </fill>
    </dxf>
    <dxf>
      <fill>
        <patternFill>
          <bgColor rgb="FFF7CFD8"/>
        </patternFill>
      </fill>
    </dxf>
    <dxf>
      <fill>
        <patternFill>
          <bgColor rgb="FFF4F8D3"/>
        </patternFill>
      </fill>
    </dxf>
    <dxf>
      <fill>
        <patternFill>
          <bgColor rgb="FF8E7DBE"/>
        </patternFill>
      </fill>
    </dxf>
    <dxf>
      <fill>
        <patternFill>
          <bgColor rgb="FF3D365C"/>
        </patternFill>
      </fill>
    </dxf>
    <dxf>
      <fill>
        <patternFill>
          <bgColor rgb="FF7C4585"/>
        </patternFill>
      </fill>
    </dxf>
    <dxf>
      <fill>
        <patternFill>
          <bgColor rgb="FFA6D6D6"/>
        </patternFill>
      </fill>
    </dxf>
    <dxf>
      <numFmt numFmtId="164" formatCode="_-[$Rp-3809]* #,##0_-;\-[$Rp-3809]* #,##0_-;_-[$Rp-3809]* &quot;-&quot;??_-;_-@_-"/>
    </dxf>
    <dxf>
      <numFmt numFmtId="164" formatCode="_-[$Rp-3809]* #,##0_-;\-[$Rp-3809]* #,##0_-;_-[$Rp-3809]* &quot;-&quot;??_-;_-@_-"/>
    </dxf>
    <dxf>
      <numFmt numFmtId="1" formatCode="0"/>
    </dxf>
    <dxf>
      <numFmt numFmtId="166" formatCode="[$-F800]dddd\,\ mmmm\ dd\,\ yyyy"/>
    </dxf>
    <dxf>
      <fill>
        <patternFill patternType="solid">
          <fgColor indexed="64"/>
          <bgColor rgb="FFA888B5"/>
        </patternFill>
      </fill>
    </dxf>
    <dxf>
      <font>
        <b val="0"/>
        <i val="0"/>
        <strike val="0"/>
        <condense val="0"/>
        <extend val="0"/>
        <outline val="0"/>
        <shadow val="0"/>
        <u val="none"/>
        <vertAlign val="baseline"/>
        <sz val="11"/>
        <color theme="1"/>
        <name val="Aptos Narrow"/>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6" formatCode="[$-F800]dddd\,\ mmmm\ dd\,\ 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theme="1"/>
        <name val="Aptos Narrow"/>
        <family val="2"/>
        <scheme val="minor"/>
      </font>
      <fill>
        <patternFill patternType="solid">
          <fgColor indexed="64"/>
          <bgColor rgb="FFAD49E1"/>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venir Next LT Pro"/>
        <family val="2"/>
        <scheme val="none"/>
      </font>
      <numFmt numFmtId="164" formatCode="_-[$Rp-3809]* #,##0_-;\-[$Rp-3809]* #,##0_-;_-[$Rp-3809]* &quot;-&quot;??_-;_-@_-"/>
      <fill>
        <patternFill patternType="solid">
          <fgColor indexed="64"/>
          <bgColor rgb="FFF4CCE9"/>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venir Next LT Pro"/>
        <family val="2"/>
        <scheme val="none"/>
      </font>
      <numFmt numFmtId="164" formatCode="_-[$Rp-3809]* #,##0_-;\-[$Rp-3809]* #,##0_-;_-[$Rp-3809]* &quot;-&quot;??_-;_-@_-"/>
      <fill>
        <patternFill patternType="solid">
          <fgColor indexed="64"/>
          <bgColor rgb="FFF4CCE9"/>
        </patternFill>
      </fill>
      <alignment horizontal="center" vertical="bottom" textRotation="0" wrapText="0" indent="0" justifyLastLine="0" shrinkToFit="0" readingOrder="0"/>
    </dxf>
    <dxf>
      <font>
        <b val="0"/>
        <i val="0"/>
        <strike val="0"/>
        <condense val="0"/>
        <extend val="0"/>
        <outline val="0"/>
        <shadow val="0"/>
        <u val="none"/>
        <vertAlign val="baseline"/>
        <sz val="11"/>
        <color rgb="FFA888B5"/>
        <name val="Avenir Next LT Pro"/>
        <family val="2"/>
        <scheme val="none"/>
      </font>
      <numFmt numFmtId="0" formatCode="General"/>
      <fill>
        <patternFill patternType="solid">
          <fgColor indexed="64"/>
          <bgColor rgb="FFA888B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venir Next LT Pro"/>
        <family val="2"/>
        <scheme val="none"/>
      </font>
      <numFmt numFmtId="0" formatCode="General"/>
      <fill>
        <patternFill patternType="solid">
          <fgColor indexed="64"/>
          <bgColor rgb="FFA888B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Avenir Next LT Pro"/>
        <family val="2"/>
        <scheme val="none"/>
      </font>
      <numFmt numFmtId="166" formatCode="[$-F800]dddd\,\ mmmm\ dd\,\ yyyy"/>
      <fill>
        <patternFill patternType="solid">
          <fgColor indexed="64"/>
          <bgColor rgb="FFA888B5"/>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Avenir Next LT Pro"/>
        <family val="2"/>
        <scheme val="none"/>
      </font>
      <alignment horizontal="center" vertical="bottom" textRotation="0" wrapText="0" indent="0" justifyLastLine="0" shrinkToFit="0" readingOrder="0"/>
    </dxf>
    <dxf>
      <font>
        <b/>
        <i val="0"/>
        <strike val="0"/>
        <condense val="0"/>
        <extend val="0"/>
        <outline val="0"/>
        <shadow val="0"/>
        <u val="none"/>
        <vertAlign val="baseline"/>
        <sz val="16"/>
        <color theme="1"/>
        <name val="Aptos Narrow"/>
        <family val="2"/>
        <scheme val="minor"/>
      </font>
      <fill>
        <patternFill patternType="solid">
          <fgColor indexed="64"/>
          <bgColor rgb="FF44175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venir Next LT Pro"/>
        <family val="2"/>
        <scheme val="none"/>
      </font>
      <numFmt numFmtId="164" formatCode="_-[$Rp-3809]* #,##0_-;\-[$Rp-3809]* #,##0_-;_-[$Rp-3809]* &quot;-&quot;??_-;_-@_-"/>
      <fill>
        <patternFill patternType="solid">
          <fgColor indexed="64"/>
          <bgColor rgb="FFF4CCE9"/>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venir Next LT Pro"/>
        <family val="2"/>
        <scheme val="none"/>
      </font>
      <numFmt numFmtId="164" formatCode="_-[$Rp-3809]* #,##0_-;\-[$Rp-3809]* #,##0_-;_-[$Rp-3809]* &quot;-&quot;??_-;_-@_-"/>
      <fill>
        <patternFill patternType="solid">
          <fgColor indexed="64"/>
          <bgColor rgb="FFF4CCE9"/>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Avenir Next LT Pro"/>
        <family val="2"/>
        <scheme val="none"/>
      </font>
      <numFmt numFmtId="0" formatCode="General"/>
      <fill>
        <patternFill patternType="solid">
          <fgColor indexed="64"/>
          <bgColor rgb="FFA888B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venir Next LT Pro"/>
        <family val="2"/>
        <scheme val="none"/>
      </font>
      <numFmt numFmtId="0" formatCode="General"/>
      <fill>
        <patternFill patternType="solid">
          <fgColor indexed="64"/>
          <bgColor rgb="FFA888B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Avenir Next LT Pro"/>
        <family val="2"/>
        <scheme val="none"/>
      </font>
      <numFmt numFmtId="166" formatCode="[$-F800]dddd\,\ mmmm\ dd\,\ yyyy"/>
      <fill>
        <patternFill patternType="solid">
          <fgColor indexed="64"/>
          <bgColor rgb="FFA888B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Avenir Next LT Pro"/>
        <family val="2"/>
        <scheme val="none"/>
      </font>
      <alignment horizontal="center" vertical="bottom" textRotation="0" wrapText="0" indent="0" justifyLastLine="0" shrinkToFit="0" readingOrder="0"/>
    </dxf>
    <dxf>
      <font>
        <b/>
        <i val="0"/>
        <strike val="0"/>
        <condense val="0"/>
        <extend val="0"/>
        <outline val="0"/>
        <shadow val="0"/>
        <u val="none"/>
        <vertAlign val="baseline"/>
        <sz val="16"/>
        <color theme="1"/>
        <name val="Aptos Narrow"/>
        <family val="2"/>
        <scheme val="minor"/>
      </font>
      <fill>
        <patternFill patternType="solid">
          <fgColor indexed="64"/>
          <bgColor rgb="FF44175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4" formatCode="_-[$Rp-3809]* #,##0_-;\-[$Rp-3809]* #,##0_-;_-[$Rp-3809]* &quot;-&quot;??_-;_-@_-"/>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4" formatCode="_-[$Rp-3809]* #,##0_-;\-[$Rp-3809]* #,##0_-;_-[$Rp-3809]* &quot;-&quot;??_-;_-@_-"/>
      <fill>
        <patternFill patternType="none">
          <fgColor indexed="64"/>
          <bgColor indexed="65"/>
        </patternFill>
      </fill>
      <alignment horizontal="left" vertical="bottom" textRotation="0" wrapText="0" indent="0" justifyLastLine="0" shrinkToFit="0" readingOrder="0"/>
    </dxf>
    <dxf>
      <numFmt numFmtId="33" formatCode="_-* #,##0_-;\-* #,##0_-;_-* &quot;-&quot;_-;_-@_-"/>
    </dxf>
    <dxf>
      <font>
        <b val="0"/>
        <i val="0"/>
        <strike val="0"/>
        <condense val="0"/>
        <extend val="0"/>
        <outline val="0"/>
        <shadow val="0"/>
        <u val="none"/>
        <vertAlign val="baseline"/>
        <sz val="11"/>
        <color theme="1"/>
        <name val="Aptos Narrow"/>
        <family val="2"/>
        <scheme val="minor"/>
      </font>
      <numFmt numFmtId="19" formatCode="dd/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9" formatCode="dd/mm/yyyy"/>
      <fill>
        <patternFill patternType="none">
          <fgColor indexed="64"/>
          <bgColor indexed="65"/>
        </patternFill>
      </fill>
      <alignment horizontal="left" vertical="bottom" textRotation="0" wrapText="0"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2"/>
        <color theme="0"/>
        <name val="Aptos Narrow"/>
        <family val="2"/>
        <scheme val="minor"/>
      </font>
      <fill>
        <patternFill patternType="solid">
          <fgColor indexed="64"/>
          <bgColor rgb="FF7A1CAC"/>
        </patternFill>
      </fill>
      <alignment horizontal="center" vertical="center" textRotation="0" wrapText="0" indent="0" justifyLastLine="0" shrinkToFit="0" readingOrder="0"/>
    </dxf>
    <dxf>
      <font>
        <strike val="0"/>
        <outline val="0"/>
        <shadow val="0"/>
        <u val="none"/>
        <vertAlign val="baseline"/>
        <sz val="11"/>
        <color auto="1"/>
        <name val="Aptos Narrow"/>
        <family val="2"/>
        <scheme val="minor"/>
      </font>
      <numFmt numFmtId="10" formatCode="&quot;Rp&quot;#,##0;[Red]\-&quot;Rp&quot;#,##0"/>
      <fill>
        <patternFill patternType="solid">
          <fgColor indexed="64"/>
          <bgColor theme="0"/>
        </patternFill>
      </fill>
      <alignment horizontal="general" vertical="center" textRotation="0" wrapText="1" indent="0" justifyLastLine="0" shrinkToFit="0" readingOrder="0"/>
    </dxf>
    <dxf>
      <font>
        <strike val="0"/>
        <outline val="0"/>
        <shadow val="0"/>
        <u val="none"/>
        <vertAlign val="baseline"/>
        <sz val="11"/>
        <color theme="4" tint="0.39997558519241921"/>
        <name val="Aptos Narrow"/>
        <family val="2"/>
        <scheme val="minor"/>
      </font>
      <fill>
        <patternFill patternType="solid">
          <fgColor indexed="64"/>
          <bgColor theme="0"/>
        </patternFill>
      </fill>
      <alignment horizontal="general" vertical="center" textRotation="0" wrapText="1" indent="0" justifyLastLine="0" shrinkToFit="0" readingOrder="0"/>
    </dxf>
    <dxf>
      <font>
        <strike val="0"/>
        <outline val="0"/>
        <shadow val="0"/>
        <u val="none"/>
        <vertAlign val="baseline"/>
        <sz val="11"/>
        <color theme="4" tint="0.39997558519241921"/>
        <name val="Aptos Narrow"/>
        <family val="2"/>
        <scheme val="minor"/>
      </font>
      <numFmt numFmtId="10" formatCode="&quot;Rp&quot;#,##0;[Red]\-&quot;Rp&quot;#,##0"/>
      <fill>
        <patternFill patternType="solid">
          <fgColor indexed="64"/>
          <bgColor theme="0"/>
        </patternFill>
      </fill>
      <alignment horizontal="general" vertical="center" textRotation="0" wrapText="1" indent="0" justifyLastLine="0" shrinkToFit="0" readingOrder="0"/>
    </dxf>
    <dxf>
      <font>
        <strike val="0"/>
        <outline val="0"/>
        <shadow val="0"/>
        <u val="none"/>
        <vertAlign val="baseline"/>
        <sz val="11"/>
        <color theme="4" tint="0.39997558519241921"/>
        <name val="Aptos Narrow"/>
        <family val="2"/>
        <scheme val="minor"/>
      </font>
      <numFmt numFmtId="10" formatCode="&quot;Rp&quot;#,##0;[Red]\-&quot;Rp&quot;#,##0"/>
      <fill>
        <patternFill patternType="solid">
          <fgColor indexed="64"/>
          <bgColor theme="0"/>
        </patternFill>
      </fill>
      <alignment horizontal="general" vertical="center" textRotation="0" wrapText="1" indent="0" justifyLastLine="0" shrinkToFit="0" readingOrder="0"/>
    </dxf>
    <dxf>
      <font>
        <strike val="0"/>
        <outline val="0"/>
        <shadow val="0"/>
        <u val="none"/>
        <vertAlign val="baseline"/>
        <sz val="11"/>
        <color auto="1"/>
        <name val="Aptos Narrow"/>
        <family val="2"/>
        <scheme val="minor"/>
      </font>
      <numFmt numFmtId="10" formatCode="&quot;Rp&quot;#,##0;[Red]\-&quot;Rp&quot;#,##0"/>
      <fill>
        <patternFill patternType="solid">
          <fgColor indexed="64"/>
          <bgColor theme="0"/>
        </patternFill>
      </fill>
      <alignment horizontal="general" vertical="center" textRotation="0" wrapText="1" indent="0" justifyLastLine="0" shrinkToFit="0" readingOrder="0"/>
    </dxf>
    <dxf>
      <font>
        <strike val="0"/>
        <outline val="0"/>
        <shadow val="0"/>
        <u val="none"/>
        <vertAlign val="baseline"/>
        <sz val="11"/>
        <color theme="4" tint="0.39997558519241921"/>
        <name val="Aptos Narrow"/>
        <family val="2"/>
        <scheme val="minor"/>
      </font>
      <fill>
        <patternFill patternType="solid">
          <fgColor indexed="64"/>
          <bgColor theme="0"/>
        </patternFill>
      </fill>
      <alignment horizontal="general" vertical="center" textRotation="0" wrapText="1" indent="0" justifyLastLine="0" shrinkToFit="0" readingOrder="0"/>
    </dxf>
    <dxf>
      <font>
        <strike val="0"/>
        <outline val="0"/>
        <shadow val="0"/>
        <u val="none"/>
        <vertAlign val="baseline"/>
        <sz val="11"/>
        <color theme="4" tint="0.39997558519241921"/>
        <name val="Aptos Narrow"/>
        <family val="2"/>
        <scheme val="minor"/>
      </font>
      <fill>
        <patternFill patternType="solid">
          <fgColor indexed="64"/>
          <bgColor theme="0"/>
        </patternFill>
      </fill>
      <alignment horizontal="general" vertical="center" textRotation="0" wrapText="1" indent="0" justifyLastLine="0" shrinkToFit="0" readingOrder="0"/>
    </dxf>
    <dxf>
      <font>
        <strike val="0"/>
        <outline val="0"/>
        <shadow val="0"/>
        <u val="none"/>
        <vertAlign val="baseline"/>
        <sz val="11"/>
        <color theme="4" tint="0.39997558519241921"/>
        <name val="Aptos Narrow"/>
        <family val="2"/>
        <scheme val="minor"/>
      </font>
      <fill>
        <patternFill patternType="solid">
          <fgColor indexed="64"/>
          <bgColor theme="0"/>
        </patternFill>
      </fill>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numFmt numFmtId="33" formatCode="_-* #,##0_-;\-* #,##0_-;_-* &quot;-&quot;_-;_-@_-"/>
      <alignment horizontal="center" vertical="center" textRotation="0" wrapText="0" indent="0" justifyLastLine="0" shrinkToFit="0" readingOrder="0"/>
    </dxf>
    <dxf>
      <numFmt numFmtId="33" formatCode="_-* #,##0_-;\-* #,##0_-;_-* &quot;-&quot;_-;_-@_-"/>
      <alignment horizontal="center" vertical="center" textRotation="0" wrapText="0" indent="0" justifyLastLine="0" shrinkToFit="0" readingOrder="0"/>
    </dxf>
    <dxf>
      <numFmt numFmtId="33" formatCode="_-* #,##0_-;\-* #,##0_-;_-* &quot;-&quot;_-;_-@_-"/>
      <alignment horizontal="center" vertical="center" textRotation="0" wrapText="0" indent="0" justifyLastLine="0" shrinkToFit="0" readingOrder="0"/>
    </dxf>
    <dxf>
      <numFmt numFmtId="33" formatCode="_-* #,##0_-;\-* #,##0_-;_-*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ptos Narrow"/>
        <family val="2"/>
        <scheme val="minor"/>
      </font>
    </dxf>
    <dxf>
      <border outline="0">
        <bottom style="thin">
          <color indexed="64"/>
        </bottom>
      </border>
    </dxf>
    <dxf>
      <font>
        <b/>
        <i val="0"/>
        <strike val="0"/>
        <condense val="0"/>
        <extend val="0"/>
        <outline val="0"/>
        <shadow val="0"/>
        <u val="none"/>
        <vertAlign val="baseline"/>
        <sz val="12"/>
        <color theme="0"/>
        <name val="Aptos Narrow"/>
        <family val="2"/>
        <scheme val="minor"/>
      </font>
      <fill>
        <patternFill patternType="solid">
          <fgColor indexed="64"/>
          <bgColor rgb="FF073673"/>
        </patternFill>
      </fill>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right style="thin">
          <color indexed="64"/>
        </right>
        <top/>
        <bottom/>
        <vertical/>
        <horizontal/>
      </border>
    </dxf>
    <dxf>
      <font>
        <b val="0"/>
        <i val="0"/>
        <strike val="0"/>
        <condense val="0"/>
        <extend val="0"/>
        <outline val="0"/>
        <shadow val="0"/>
        <u val="none"/>
        <vertAlign val="baseline"/>
        <sz val="11"/>
        <color theme="1"/>
        <name val="Aptos Narrow"/>
        <family val="2"/>
        <scheme val="minor"/>
      </font>
      <numFmt numFmtId="166" formatCode="[$-F800]dddd\,\ mmmm\ dd\,\ yyyy"/>
      <alignment horizontal="left" vertical="top" textRotation="0" wrapText="1" indent="0" justifyLastLine="0" shrinkToFit="0" readingOrder="0"/>
    </dxf>
    <dxf>
      <alignment horizontal="center" textRotation="0" indent="0" justifyLastLine="0" shrinkToFit="0" readingOrder="0"/>
      <border diagonalUp="0" diagonalDown="0" outline="0">
        <left style="thin">
          <color indexed="64"/>
        </left>
        <right/>
        <top/>
        <bottom/>
      </border>
    </dxf>
    <dxf>
      <border outline="0">
        <top style="thin">
          <color theme="6"/>
        </top>
      </border>
    </dxf>
    <dxf>
      <font>
        <b/>
        <i val="0"/>
        <strike val="0"/>
        <condense val="0"/>
        <extend val="0"/>
        <outline val="0"/>
        <shadow val="0"/>
        <u val="none"/>
        <vertAlign val="baseline"/>
        <sz val="11"/>
        <color theme="0"/>
        <name val="Aptos Narrow"/>
        <family val="2"/>
        <scheme val="minor"/>
      </font>
      <fill>
        <patternFill patternType="solid">
          <fgColor theme="6"/>
          <bgColor rgb="FFA888B5"/>
        </patternFill>
      </fill>
      <alignment horizontal="center" vertical="center" textRotation="0" wrapText="1" indent="0" justifyLastLine="0" shrinkToFit="0" readingOrder="0"/>
    </dxf>
    <dxf>
      <border diagonalUp="0" diagonalDown="0">
        <left/>
        <right style="thin">
          <color indexed="64"/>
        </right>
        <top/>
        <bottom/>
        <vertical/>
        <horizontal/>
      </border>
    </dxf>
    <dxf>
      <font>
        <b val="0"/>
        <i val="0"/>
        <strike val="0"/>
        <condense val="0"/>
        <extend val="0"/>
        <outline val="0"/>
        <shadow val="0"/>
        <u val="none"/>
        <vertAlign val="baseline"/>
        <sz val="11"/>
        <color theme="1"/>
        <name val="Aptos Narrow"/>
        <family val="2"/>
        <scheme val="minor"/>
      </font>
      <numFmt numFmtId="166" formatCode="[$-F800]dddd\,\ mmmm\ dd\,\ yyyy"/>
      <alignment horizontal="left" vertical="top" textRotation="0" wrapText="1" indent="0" justifyLastLine="0" shrinkToFit="0" readingOrder="0"/>
    </dxf>
    <dxf>
      <alignment horizontal="center" textRotation="0" indent="0" justifyLastLine="0" shrinkToFit="0" readingOrder="0"/>
      <border diagonalUp="0" diagonalDown="0" outline="0">
        <left style="thin">
          <color indexed="64"/>
        </left>
        <right/>
        <top/>
        <bottom/>
      </border>
    </dxf>
    <dxf>
      <border outline="0">
        <top style="thin">
          <color theme="6"/>
        </top>
      </border>
    </dxf>
    <dxf>
      <font>
        <b/>
        <i val="0"/>
        <strike val="0"/>
        <condense val="0"/>
        <extend val="0"/>
        <outline val="0"/>
        <shadow val="0"/>
        <u val="none"/>
        <vertAlign val="baseline"/>
        <sz val="11"/>
        <color theme="0"/>
        <name val="Aptos Narrow"/>
        <family val="2"/>
        <scheme val="minor"/>
      </font>
      <fill>
        <patternFill patternType="solid">
          <fgColor theme="6"/>
          <bgColor rgb="FFAD49E1"/>
        </patternFill>
      </fill>
      <alignment horizontal="center" vertical="center" textRotation="0" wrapText="1" indent="0" justifyLastLine="0" shrinkToFit="0" readingOrder="0"/>
    </dxf>
    <dxf>
      <border diagonalUp="0" diagonalDown="0">
        <left/>
        <right style="thin">
          <color indexed="64"/>
        </right>
        <top/>
        <bottom/>
        <vertical/>
        <horizontal/>
      </border>
    </dxf>
    <dxf>
      <alignment horizontal="general"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top/>
        <bottom/>
      </border>
    </dxf>
    <dxf>
      <font>
        <b/>
        <i val="0"/>
        <strike val="0"/>
        <condense val="0"/>
        <extend val="0"/>
        <outline val="0"/>
        <shadow val="0"/>
        <u val="none"/>
        <vertAlign val="baseline"/>
        <sz val="11"/>
        <color theme="1"/>
        <name val="Aptos Narrow"/>
        <family val="2"/>
        <scheme val="minor"/>
      </font>
      <fill>
        <patternFill patternType="solid">
          <fgColor indexed="64"/>
          <bgColor rgb="FF7A1CAC"/>
        </patternFill>
      </fill>
      <alignment horizontal="center" vertical="center" textRotation="0" wrapText="1" indent="0" justifyLastLine="0" shrinkToFit="0" readingOrder="0"/>
    </dxf>
    <dxf>
      <numFmt numFmtId="10" formatCode="&quot;Rp&quot;#,##0;[Red]\-&quot;Rp&quot;#,##0"/>
    </dxf>
    <dxf>
      <font>
        <b/>
        <i val="0"/>
        <strike val="0"/>
        <condense val="0"/>
        <extend val="0"/>
        <outline val="0"/>
        <shadow val="0"/>
        <u val="none"/>
        <vertAlign val="baseline"/>
        <sz val="11"/>
        <color theme="0"/>
        <name val="Aptos Narrow"/>
        <family val="2"/>
        <scheme val="minor"/>
      </font>
      <fill>
        <patternFill patternType="solid">
          <fgColor indexed="64"/>
          <bgColor theme="3"/>
        </patternFill>
      </fill>
    </dxf>
    <dxf>
      <numFmt numFmtId="10" formatCode="&quot;Rp&quot;#,##0;[Red]\-&quot;Rp&quot;#,##0"/>
    </dxf>
    <dxf>
      <font>
        <b/>
        <i val="0"/>
        <strike val="0"/>
        <condense val="0"/>
        <extend val="0"/>
        <outline val="0"/>
        <shadow val="0"/>
        <u val="none"/>
        <vertAlign val="baseline"/>
        <sz val="11"/>
        <color theme="0"/>
        <name val="Aptos Narrow"/>
        <family val="2"/>
        <scheme val="minor"/>
      </font>
      <fill>
        <patternFill patternType="solid">
          <fgColor indexed="64"/>
          <bgColor theme="3"/>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10" formatCode="&quot;Rp&quot;#,##0;[Red]\-&quot;Rp&quot;#,##0"/>
      <alignment horizontal="general" vertical="center" textRotation="0" wrapText="1" indent="0" justifyLastLine="0" shrinkToFit="0" readingOrder="0"/>
    </dxf>
    <dxf>
      <numFmt numFmtId="13" formatCode="0%"/>
      <alignment horizontal="general" vertical="center" textRotation="0" wrapText="1" indent="0" justifyLastLine="0" shrinkToFit="0" readingOrder="0"/>
    </dxf>
    <dxf>
      <numFmt numFmtId="10" formatCode="&quot;Rp&quot;#,##0;[Red]\-&quot;Rp&quot;#,##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0" formatCode="&quot;Rp&quot;#,##0;[Red]\-&quot;Rp&quot;#,##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0" formatCode="&quot;Rp&quot;#,##0;[Red]\-&quot;Rp&quot;#,##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0" formatCode="&quot;Rp&quot;#,##0;[Red]\-&quot;Rp&quot;#,##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0" formatCode="&quot;Rp&quot;#,##0;[Red]\-&quot;Rp&quot;#,##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i/>
      </font>
    </dxf>
    <dxf>
      <font>
        <b/>
        <i val="0"/>
        <strike val="0"/>
        <condense val="0"/>
        <extend val="0"/>
        <outline val="0"/>
        <shadow val="0"/>
        <u val="none"/>
        <vertAlign val="baseline"/>
        <sz val="11"/>
        <color theme="0"/>
        <name val="Aptos Narrow"/>
        <family val="2"/>
        <scheme val="minor"/>
      </font>
      <fill>
        <patternFill patternType="solid">
          <fgColor theme="1"/>
          <bgColor rgb="FFA888B5"/>
        </patternFill>
      </fill>
      <border diagonalUp="0" diagonalDown="0" outline="0">
        <left style="thin">
          <color theme="1"/>
        </left>
        <right style="thin">
          <color theme="1"/>
        </right>
        <top/>
        <bottom/>
      </border>
    </dxf>
    <dxf>
      <fill>
        <patternFill patternType="solid">
          <bgColor theme="4"/>
        </patternFill>
      </fill>
      <border diagonalUp="0" diagonalDown="0">
        <left/>
        <right/>
        <top/>
        <bottom/>
        <vertical/>
        <horizontal/>
      </border>
    </dxf>
    <dxf>
      <fill>
        <patternFill patternType="none">
          <bgColor auto="1"/>
        </patternFill>
      </fill>
      <border diagonalUp="0" diagonalDown="0">
        <left/>
        <right/>
        <top/>
        <bottom/>
        <vertical/>
        <horizontal/>
      </border>
    </dxf>
    <dxf>
      <fill>
        <patternFill patternType="solid">
          <fgColor auto="1"/>
          <bgColor rgb="FF100D83"/>
        </patternFill>
      </fill>
    </dxf>
    <dxf>
      <fill>
        <patternFill patternType="none">
          <bgColor auto="1"/>
        </patternFill>
      </fill>
    </dxf>
  </dxfs>
  <tableStyles count="4" defaultTableStyle="TableStyleMedium2" defaultPivotStyle="PivotStyleLight16">
    <tableStyle name="Slicer Style 1" pivot="0" table="0" count="1" xr9:uid="{867BDB89-E25C-40D9-8017-697D5F69BE1A}">
      <tableStyleElement type="wholeTable" dxfId="154"/>
    </tableStyle>
    <tableStyle name="Slicer Style 2" pivot="0" table="0" count="1" xr9:uid="{BE377C19-BDAC-406E-963F-39EAFD7D9AD4}">
      <tableStyleElement type="wholeTable" dxfId="153"/>
    </tableStyle>
    <tableStyle name="Slicer Style 3" pivot="0" table="0" count="1" xr9:uid="{25D9F08E-CD56-4F13-97FB-45E1DA09B6D6}">
      <tableStyleElement type="wholeTable" dxfId="152"/>
    </tableStyle>
    <tableStyle name="Slicer Style 4" pivot="0" table="0" count="1" xr9:uid="{5A831B70-B1C4-42D3-A519-EDAE0798B76F}">
      <tableStyleElement type="wholeTable" dxfId="151"/>
    </tableStyle>
  </tableStyles>
  <colors>
    <mruColors>
      <color rgb="FF7F778A"/>
      <color rgb="FF7A1CAC"/>
      <color rgb="FFA888B5"/>
      <color rgb="FFAD49E1"/>
      <color rgb="FFA53860"/>
      <color rgb="FF240750"/>
      <color rgb="FF344C64"/>
      <color rgb="FF577B8D"/>
      <color rgb="FF57A6A1"/>
      <color rgb="FF1F7D53"/>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4F7-4C96-BC8B-6404A3EBA461}"/>
              </c:ext>
            </c:extLst>
          </c:dPt>
          <c:val>
            <c:numRef>
              <c:f>#REF!</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 xmlns:c16="http://schemas.microsoft.com/office/drawing/2014/chart" uri="{C3380CC4-5D6E-409C-BE32-E72D297353CC}">
              <c16:uniqueId val="{00000004-84F7-4C96-BC8B-6404A3EBA461}"/>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D"/>
              <a:t>Laporan Posisi Keuangan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'Persiapan UAS'!$C$78</c:f>
              <c:strCache>
                <c:ptCount val="1"/>
                <c:pt idx="0">
                  <c:v>2025</c:v>
                </c:pt>
              </c:strCache>
            </c:strRef>
          </c:tx>
          <c:spPr>
            <a:gradFill flip="none" rotWithShape="1">
              <a:gsLst>
                <a:gs pos="0">
                  <a:srgbClr val="7A1CAC"/>
                </a:gs>
                <a:gs pos="80000">
                  <a:srgbClr val="AD49E1"/>
                </a:gs>
              </a:gsLst>
              <a:path path="circle">
                <a:fillToRect l="100000" t="100000"/>
              </a:path>
              <a:tileRect r="-100000" b="-100000"/>
            </a:gradFill>
            <a:ln>
              <a:gradFill>
                <a:gsLst>
                  <a:gs pos="0">
                    <a:srgbClr val="7A1CAC"/>
                  </a:gs>
                  <a:gs pos="65100">
                    <a:srgbClr val="9B39CF"/>
                  </a:gs>
                  <a:gs pos="100000">
                    <a:srgbClr val="AD49E1"/>
                  </a:gs>
                </a:gsLst>
                <a:lin ang="5400000" scaled="1"/>
              </a:gradFill>
            </a:ln>
            <a:effectLst/>
          </c:spPr>
          <c:invertIfNegative val="0"/>
          <c:dPt>
            <c:idx val="2"/>
            <c:invertIfNegative val="0"/>
            <c:bubble3D val="0"/>
            <c:spPr>
              <a:gradFill flip="none" rotWithShape="1">
                <a:gsLst>
                  <a:gs pos="0">
                    <a:srgbClr val="7A1CAC"/>
                  </a:gs>
                  <a:gs pos="80000">
                    <a:srgbClr val="AD49E1"/>
                  </a:gs>
                </a:gsLst>
                <a:path path="circle">
                  <a:fillToRect l="100000" t="100000"/>
                </a:path>
                <a:tileRect r="-100000" b="-100000"/>
              </a:gradFill>
              <a:ln>
                <a:noFill/>
              </a:ln>
              <a:effectLst/>
            </c:spPr>
            <c:extLst>
              <c:ext xmlns:c16="http://schemas.microsoft.com/office/drawing/2014/chart" uri="{C3380CC4-5D6E-409C-BE32-E72D297353CC}">
                <c16:uniqueId val="{00000001-7763-4BE8-8C6A-FAAA856761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'Persiapan UAS'!$B$79:$B$81</c:f>
              <c:strCache>
                <c:ptCount val="3"/>
                <c:pt idx="0">
                  <c:v>ASET</c:v>
                </c:pt>
                <c:pt idx="1">
                  <c:v>LIABILITAS</c:v>
                </c:pt>
                <c:pt idx="2">
                  <c:v>EKUITAS</c:v>
                </c:pt>
              </c:strCache>
            </c:strRef>
          </c:cat>
          <c:val>
            <c:numRef>
              <c:f>'Persiapan UAS'!$C$79:$C$81</c:f>
              <c:numCache>
                <c:formatCode>_(* #,##0_);_(* \(#,##0\);_(* "-"_);_(@_)</c:formatCode>
                <c:ptCount val="3"/>
                <c:pt idx="0">
                  <c:v>91667910.731953666</c:v>
                </c:pt>
                <c:pt idx="1">
                  <c:v>52127049.871313773</c:v>
                </c:pt>
                <c:pt idx="2">
                  <c:v>91667910.731953666</c:v>
                </c:pt>
              </c:numCache>
            </c:numRef>
          </c:val>
          <c:extLst>
            <c:ext xmlns:c16="http://schemas.microsoft.com/office/drawing/2014/chart" uri="{C3380CC4-5D6E-409C-BE32-E72D297353CC}">
              <c16:uniqueId val="{00000002-7763-4BE8-8C6A-FAAA85676132}"/>
            </c:ext>
          </c:extLst>
        </c:ser>
        <c:ser>
          <c:idx val="1"/>
          <c:order val="1"/>
          <c:tx>
            <c:strRef>
              <c:f>'Persiapan UAS'!$D$78</c:f>
              <c:strCache>
                <c:ptCount val="1"/>
                <c:pt idx="0">
                  <c:v>2024</c:v>
                </c:pt>
              </c:strCache>
            </c:strRef>
          </c:tx>
          <c:spPr>
            <a:gradFill flip="none" rotWithShape="1">
              <a:gsLst>
                <a:gs pos="100000">
                  <a:srgbClr val="A888B5"/>
                </a:gs>
                <a:gs pos="52000">
                  <a:srgbClr val="A888B5"/>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'Persiapan UAS'!$B$79:$B$81</c:f>
              <c:strCache>
                <c:ptCount val="3"/>
                <c:pt idx="0">
                  <c:v>ASET</c:v>
                </c:pt>
                <c:pt idx="1">
                  <c:v>LIABILITAS</c:v>
                </c:pt>
                <c:pt idx="2">
                  <c:v>EKUITAS</c:v>
                </c:pt>
              </c:strCache>
            </c:strRef>
          </c:cat>
          <c:val>
            <c:numRef>
              <c:f>'Persiapan UAS'!$D$79:$D$81</c:f>
              <c:numCache>
                <c:formatCode>_(* #,##0_);_(* \(#,##0\);_(* "-"_);_(@_)</c:formatCode>
                <c:ptCount val="3"/>
                <c:pt idx="0">
                  <c:v>41961136.819311351</c:v>
                </c:pt>
                <c:pt idx="1">
                  <c:v>12306109.849494949</c:v>
                </c:pt>
                <c:pt idx="2">
                  <c:v>41961136.819311351</c:v>
                </c:pt>
              </c:numCache>
            </c:numRef>
          </c:val>
          <c:extLst>
            <c:ext xmlns:c16="http://schemas.microsoft.com/office/drawing/2014/chart" uri="{C3380CC4-5D6E-409C-BE32-E72D297353CC}">
              <c16:uniqueId val="{00000003-7763-4BE8-8C6A-FAAA85676132}"/>
            </c:ext>
          </c:extLst>
        </c:ser>
        <c:dLbls>
          <c:dLblPos val="ctr"/>
          <c:showLegendKey val="0"/>
          <c:showVal val="1"/>
          <c:showCatName val="0"/>
          <c:showSerName val="0"/>
          <c:showPercent val="0"/>
          <c:showBubbleSize val="0"/>
        </c:dLbls>
        <c:gapWidth val="79"/>
        <c:overlap val="100"/>
        <c:axId val="909528968"/>
        <c:axId val="834667640"/>
      </c:barChart>
      <c:catAx>
        <c:axId val="9095289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834667640"/>
        <c:crosses val="autoZero"/>
        <c:auto val="1"/>
        <c:lblAlgn val="ctr"/>
        <c:lblOffset val="100"/>
        <c:noMultiLvlLbl val="0"/>
      </c:catAx>
      <c:valAx>
        <c:axId val="834667640"/>
        <c:scaling>
          <c:orientation val="minMax"/>
        </c:scaling>
        <c:delete val="1"/>
        <c:axPos val="b"/>
        <c:numFmt formatCode="_(* #,##0_);_(* \(#,##0\);_(* &quot;-&quot;_);_(@_)" sourceLinked="1"/>
        <c:majorTickMark val="none"/>
        <c:minorTickMark val="none"/>
        <c:tickLblPos val="nextTo"/>
        <c:crossAx val="909528968"/>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r>
              <a:rPr lang="en-ID">
                <a:solidFill>
                  <a:srgbClr val="FFC000"/>
                </a:solidFill>
              </a:rPr>
              <a:t>Laporan Laba Rugi Komprehensif</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endParaRPr lang="en-US"/>
        </a:p>
      </c:txPr>
    </c:title>
    <c:autoTitleDeleted val="0"/>
    <c:plotArea>
      <c:layout/>
      <c:barChart>
        <c:barDir val="col"/>
        <c:grouping val="percentStacked"/>
        <c:varyColors val="0"/>
        <c:ser>
          <c:idx val="0"/>
          <c:order val="0"/>
          <c:tx>
            <c:strRef>
              <c:f>'Persiapan UAS'!$C$83</c:f>
              <c:strCache>
                <c:ptCount val="1"/>
                <c:pt idx="0">
                  <c:v>2024</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'Persiapan UAS'!$B$84:$B$86</c:f>
              <c:strCache>
                <c:ptCount val="3"/>
                <c:pt idx="0">
                  <c:v>PENDAPATAN DAN PENJUALAN LAINNYA</c:v>
                </c:pt>
                <c:pt idx="1">
                  <c:v>BEBAN POKOK PENJUALAN DAN LAINNYA</c:v>
                </c:pt>
                <c:pt idx="2">
                  <c:v>LABA NETO</c:v>
                </c:pt>
              </c:strCache>
            </c:strRef>
          </c:cat>
          <c:val>
            <c:numRef>
              <c:f>'Persiapan UAS'!$C$84:$C$86</c:f>
              <c:numCache>
                <c:formatCode>_(* #,##0_);_(* \(#,##0\);_(* "-"_);_(@_)</c:formatCode>
                <c:ptCount val="3"/>
                <c:pt idx="0">
                  <c:v>30755853.565656565</c:v>
                </c:pt>
                <c:pt idx="1">
                  <c:v>18935595.568567436</c:v>
                </c:pt>
                <c:pt idx="2">
                  <c:v>11655026.969816402</c:v>
                </c:pt>
              </c:numCache>
            </c:numRef>
          </c:val>
          <c:extLst>
            <c:ext xmlns:c16="http://schemas.microsoft.com/office/drawing/2014/chart" uri="{C3380CC4-5D6E-409C-BE32-E72D297353CC}">
              <c16:uniqueId val="{00000000-85B9-4FFF-A7B9-69855C926733}"/>
            </c:ext>
          </c:extLst>
        </c:ser>
        <c:ser>
          <c:idx val="1"/>
          <c:order val="1"/>
          <c:tx>
            <c:strRef>
              <c:f>'Persiapan UAS'!$D$83</c:f>
              <c:strCache>
                <c:ptCount val="1"/>
                <c:pt idx="0">
                  <c:v>2025</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'Persiapan UAS'!$B$84:$B$86</c:f>
              <c:strCache>
                <c:ptCount val="3"/>
                <c:pt idx="0">
                  <c:v>PENDAPATAN DAN PENJUALAN LAINNYA</c:v>
                </c:pt>
                <c:pt idx="1">
                  <c:v>BEBAN POKOK PENJUALAN DAN LAINNYA</c:v>
                </c:pt>
                <c:pt idx="2">
                  <c:v>LABA NETO</c:v>
                </c:pt>
              </c:strCache>
            </c:strRef>
          </c:cat>
          <c:val>
            <c:numRef>
              <c:f>'Persiapan UAS'!$D$84:$D$86</c:f>
              <c:numCache>
                <c:formatCode>_(* #,##0_);_(* \(#,##0\);_(* "-"_);_(@_)</c:formatCode>
                <c:ptCount val="3"/>
                <c:pt idx="0">
                  <c:v>66703400.106360339</c:v>
                </c:pt>
                <c:pt idx="1">
                  <c:v>41658539.245720446</c:v>
                </c:pt>
                <c:pt idx="2">
                  <c:v>25044860.860639893</c:v>
                </c:pt>
              </c:numCache>
            </c:numRef>
          </c:val>
          <c:extLst>
            <c:ext xmlns:c16="http://schemas.microsoft.com/office/drawing/2014/chart" uri="{C3380CC4-5D6E-409C-BE32-E72D297353CC}">
              <c16:uniqueId val="{00000001-85B9-4FFF-A7B9-69855C926733}"/>
            </c:ext>
          </c:extLst>
        </c:ser>
        <c:dLbls>
          <c:dLblPos val="ctr"/>
          <c:showLegendKey val="0"/>
          <c:showVal val="1"/>
          <c:showCatName val="0"/>
          <c:showSerName val="0"/>
          <c:showPercent val="0"/>
          <c:showBubbleSize val="0"/>
        </c:dLbls>
        <c:gapWidth val="150"/>
        <c:overlap val="100"/>
        <c:axId val="921263520"/>
        <c:axId val="921268200"/>
      </c:barChart>
      <c:catAx>
        <c:axId val="92126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crossAx val="921268200"/>
        <c:crosses val="autoZero"/>
        <c:auto val="1"/>
        <c:lblAlgn val="ctr"/>
        <c:lblOffset val="100"/>
        <c:noMultiLvlLbl val="0"/>
      </c:catAx>
      <c:valAx>
        <c:axId val="921268200"/>
        <c:scaling>
          <c:orientation val="minMax"/>
        </c:scaling>
        <c:delete val="1"/>
        <c:axPos val="l"/>
        <c:numFmt formatCode="0%" sourceLinked="1"/>
        <c:majorTickMark val="none"/>
        <c:minorTickMark val="none"/>
        <c:tickLblPos val="nextTo"/>
        <c:crossAx val="921263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solidFill>
                  <a:schemeClr val="accent1">
                    <a:lumMod val="60000"/>
                    <a:lumOff val="40000"/>
                  </a:schemeClr>
                </a:solidFill>
              </a:rPr>
              <a:t>Ikhtisar Saham</a:t>
            </a:r>
            <a:r>
              <a:rPr lang="en-ID" baseline="0">
                <a:solidFill>
                  <a:schemeClr val="accent1">
                    <a:lumMod val="60000"/>
                    <a:lumOff val="40000"/>
                  </a:schemeClr>
                </a:solidFill>
              </a:rPr>
              <a:t> URSI</a:t>
            </a:r>
            <a:endParaRPr lang="en-ID">
              <a:solidFill>
                <a:schemeClr val="accent1">
                  <a:lumMod val="60000"/>
                  <a:lumOff val="4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lotArea>
      <c:layout/>
      <c:areaChart>
        <c:grouping val="standard"/>
        <c:varyColors val="0"/>
        <c:ser>
          <c:idx val="0"/>
          <c:order val="0"/>
          <c:spPr>
            <a:gradFill>
              <a:gsLst>
                <a:gs pos="0">
                  <a:srgbClr val="AD49E1"/>
                </a:gs>
                <a:gs pos="74000">
                  <a:srgbClr val="A888B5"/>
                </a:gs>
              </a:gsLst>
              <a:lin ang="5400000" scaled="1"/>
            </a:gradFill>
            <a:ln>
              <a:noFill/>
            </a:ln>
            <a:effectLst/>
          </c:spPr>
          <c:cat>
            <c:strRef>
              <c:f>'Persiapan UAS'!$Q$19:$Q$29</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'Persiapan UAS'!$R$19:$R$29</c:f>
              <c:numCache>
                <c:formatCode>General</c:formatCode>
                <c:ptCount val="11"/>
                <c:pt idx="0">
                  <c:v>100</c:v>
                </c:pt>
                <c:pt idx="1">
                  <c:v>104</c:v>
                </c:pt>
                <c:pt idx="2">
                  <c:v>109</c:v>
                </c:pt>
                <c:pt idx="3">
                  <c:v>107</c:v>
                </c:pt>
                <c:pt idx="4">
                  <c:v>108</c:v>
                </c:pt>
                <c:pt idx="5">
                  <c:v>140</c:v>
                </c:pt>
                <c:pt idx="6">
                  <c:v>138</c:v>
                </c:pt>
                <c:pt idx="7">
                  <c:v>135</c:v>
                </c:pt>
                <c:pt idx="8">
                  <c:v>132</c:v>
                </c:pt>
                <c:pt idx="9">
                  <c:v>128</c:v>
                </c:pt>
                <c:pt idx="10">
                  <c:v>130</c:v>
                </c:pt>
              </c:numCache>
            </c:numRef>
          </c:val>
          <c:extLst>
            <c:ext xmlns:c16="http://schemas.microsoft.com/office/drawing/2014/chart" uri="{C3380CC4-5D6E-409C-BE32-E72D297353CC}">
              <c16:uniqueId val="{00000000-A0A5-462D-87D2-BE35B1B65565}"/>
            </c:ext>
          </c:extLst>
        </c:ser>
        <c:dLbls>
          <c:showLegendKey val="0"/>
          <c:showVal val="0"/>
          <c:showCatName val="0"/>
          <c:showSerName val="0"/>
          <c:showPercent val="0"/>
          <c:showBubbleSize val="0"/>
        </c:dLbls>
        <c:axId val="670481592"/>
        <c:axId val="670483392"/>
      </c:areaChart>
      <c:catAx>
        <c:axId val="670481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483392"/>
        <c:crosses val="autoZero"/>
        <c:auto val="1"/>
        <c:lblAlgn val="ctr"/>
        <c:lblOffset val="100"/>
        <c:noMultiLvlLbl val="0"/>
      </c:catAx>
      <c:valAx>
        <c:axId val="670483392"/>
        <c:scaling>
          <c:orientation val="minMax"/>
          <c:max val="200"/>
          <c:min val="5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48159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solidFill>
                  <a:schemeClr val="accent1">
                    <a:lumMod val="60000"/>
                    <a:lumOff val="40000"/>
                  </a:schemeClr>
                </a:solidFill>
              </a:rPr>
              <a:t>Ikhtisar Saham</a:t>
            </a:r>
            <a:r>
              <a:rPr lang="en-ID" baseline="0">
                <a:solidFill>
                  <a:schemeClr val="accent1">
                    <a:lumMod val="60000"/>
                    <a:lumOff val="40000"/>
                  </a:schemeClr>
                </a:solidFill>
              </a:rPr>
              <a:t> URSI</a:t>
            </a:r>
            <a:endParaRPr lang="en-ID">
              <a:solidFill>
                <a:schemeClr val="accent1">
                  <a:lumMod val="60000"/>
                  <a:lumOff val="4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lotArea>
      <c:layout/>
      <c:areaChart>
        <c:grouping val="standard"/>
        <c:varyColors val="0"/>
        <c:ser>
          <c:idx val="0"/>
          <c:order val="0"/>
          <c:spPr>
            <a:gradFill>
              <a:gsLst>
                <a:gs pos="0">
                  <a:srgbClr val="AD49E1"/>
                </a:gs>
                <a:gs pos="74000">
                  <a:srgbClr val="A888B5"/>
                </a:gs>
              </a:gsLst>
              <a:lin ang="5400000" scaled="1"/>
            </a:gradFill>
            <a:ln>
              <a:noFill/>
            </a:ln>
            <a:effectLst/>
          </c:spPr>
          <c:cat>
            <c:strRef>
              <c:f>'Persiapan UAS'!$Q$19:$Q$29</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'Persiapan UAS'!$R$19:$R$29</c:f>
              <c:numCache>
                <c:formatCode>General</c:formatCode>
                <c:ptCount val="11"/>
                <c:pt idx="0">
                  <c:v>100</c:v>
                </c:pt>
                <c:pt idx="1">
                  <c:v>104</c:v>
                </c:pt>
                <c:pt idx="2">
                  <c:v>109</c:v>
                </c:pt>
                <c:pt idx="3">
                  <c:v>107</c:v>
                </c:pt>
                <c:pt idx="4">
                  <c:v>108</c:v>
                </c:pt>
                <c:pt idx="5">
                  <c:v>140</c:v>
                </c:pt>
                <c:pt idx="6">
                  <c:v>138</c:v>
                </c:pt>
                <c:pt idx="7">
                  <c:v>135</c:v>
                </c:pt>
                <c:pt idx="8">
                  <c:v>132</c:v>
                </c:pt>
                <c:pt idx="9">
                  <c:v>128</c:v>
                </c:pt>
                <c:pt idx="10">
                  <c:v>130</c:v>
                </c:pt>
              </c:numCache>
            </c:numRef>
          </c:val>
          <c:extLst>
            <c:ext xmlns:c16="http://schemas.microsoft.com/office/drawing/2014/chart" uri="{C3380CC4-5D6E-409C-BE32-E72D297353CC}">
              <c16:uniqueId val="{00000000-CF06-4E8A-BF3D-35081E14E674}"/>
            </c:ext>
          </c:extLst>
        </c:ser>
        <c:dLbls>
          <c:showLegendKey val="0"/>
          <c:showVal val="0"/>
          <c:showCatName val="0"/>
          <c:showSerName val="0"/>
          <c:showPercent val="0"/>
          <c:showBubbleSize val="0"/>
        </c:dLbls>
        <c:axId val="670481592"/>
        <c:axId val="670483392"/>
      </c:areaChart>
      <c:catAx>
        <c:axId val="670481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483392"/>
        <c:crosses val="autoZero"/>
        <c:auto val="1"/>
        <c:lblAlgn val="ctr"/>
        <c:lblOffset val="100"/>
        <c:noMultiLvlLbl val="0"/>
      </c:catAx>
      <c:valAx>
        <c:axId val="670483392"/>
        <c:scaling>
          <c:orientation val="minMax"/>
          <c:max val="200"/>
          <c:min val="5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48159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D"/>
              <a:t>Laporan Posisi Keuangan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'Persiapan UAS'!$C$78</c:f>
              <c:strCache>
                <c:ptCount val="1"/>
                <c:pt idx="0">
                  <c:v>2025</c:v>
                </c:pt>
              </c:strCache>
            </c:strRef>
          </c:tx>
          <c:spPr>
            <a:gradFill flip="none" rotWithShape="1">
              <a:gsLst>
                <a:gs pos="0">
                  <a:srgbClr val="7A1CAC"/>
                </a:gs>
                <a:gs pos="80000">
                  <a:srgbClr val="AD49E1"/>
                </a:gs>
              </a:gsLst>
              <a:path path="circle">
                <a:fillToRect l="100000" t="100000"/>
              </a:path>
              <a:tileRect r="-100000" b="-100000"/>
            </a:gradFill>
            <a:ln>
              <a:gradFill>
                <a:gsLst>
                  <a:gs pos="0">
                    <a:srgbClr val="7A1CAC"/>
                  </a:gs>
                  <a:gs pos="65100">
                    <a:srgbClr val="9B39CF"/>
                  </a:gs>
                  <a:gs pos="100000">
                    <a:srgbClr val="AD49E1"/>
                  </a:gs>
                </a:gsLst>
                <a:lin ang="5400000" scaled="1"/>
              </a:gradFill>
            </a:ln>
            <a:effectLst/>
          </c:spPr>
          <c:invertIfNegative val="0"/>
          <c:dPt>
            <c:idx val="2"/>
            <c:invertIfNegative val="0"/>
            <c:bubble3D val="0"/>
            <c:spPr>
              <a:gradFill flip="none" rotWithShape="1">
                <a:gsLst>
                  <a:gs pos="0">
                    <a:srgbClr val="7A1CAC"/>
                  </a:gs>
                  <a:gs pos="80000">
                    <a:srgbClr val="AD49E1"/>
                  </a:gs>
                </a:gsLst>
                <a:path path="circle">
                  <a:fillToRect l="100000" t="100000"/>
                </a:path>
                <a:tileRect r="-100000" b="-100000"/>
              </a:gradFill>
              <a:ln>
                <a:noFill/>
              </a:ln>
              <a:effectLst/>
            </c:spPr>
            <c:extLst>
              <c:ext xmlns:c16="http://schemas.microsoft.com/office/drawing/2014/chart" uri="{C3380CC4-5D6E-409C-BE32-E72D297353CC}">
                <c16:uniqueId val="{00000002-3664-4F82-AFB7-A5208D201F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'Persiapan UAS'!$B$79:$B$81</c:f>
              <c:strCache>
                <c:ptCount val="3"/>
                <c:pt idx="0">
                  <c:v>ASET</c:v>
                </c:pt>
                <c:pt idx="1">
                  <c:v>LIABILITAS</c:v>
                </c:pt>
                <c:pt idx="2">
                  <c:v>EKUITAS</c:v>
                </c:pt>
              </c:strCache>
            </c:strRef>
          </c:cat>
          <c:val>
            <c:numRef>
              <c:f>'Persiapan UAS'!$C$79:$C$81</c:f>
              <c:numCache>
                <c:formatCode>_(* #,##0_);_(* \(#,##0\);_(* "-"_);_(@_)</c:formatCode>
                <c:ptCount val="3"/>
                <c:pt idx="0">
                  <c:v>91667910.731953666</c:v>
                </c:pt>
                <c:pt idx="1">
                  <c:v>52127049.871313773</c:v>
                </c:pt>
                <c:pt idx="2">
                  <c:v>91667910.731953666</c:v>
                </c:pt>
              </c:numCache>
            </c:numRef>
          </c:val>
          <c:extLst>
            <c:ext xmlns:c16="http://schemas.microsoft.com/office/drawing/2014/chart" uri="{C3380CC4-5D6E-409C-BE32-E72D297353CC}">
              <c16:uniqueId val="{00000000-3664-4F82-AFB7-A5208D201FDC}"/>
            </c:ext>
          </c:extLst>
        </c:ser>
        <c:ser>
          <c:idx val="1"/>
          <c:order val="1"/>
          <c:tx>
            <c:strRef>
              <c:f>'Persiapan UAS'!$D$78</c:f>
              <c:strCache>
                <c:ptCount val="1"/>
                <c:pt idx="0">
                  <c:v>2024</c:v>
                </c:pt>
              </c:strCache>
            </c:strRef>
          </c:tx>
          <c:spPr>
            <a:gradFill flip="none" rotWithShape="1">
              <a:gsLst>
                <a:gs pos="100000">
                  <a:srgbClr val="A888B5"/>
                </a:gs>
                <a:gs pos="52000">
                  <a:srgbClr val="A888B5"/>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'Persiapan UAS'!$B$79:$B$81</c:f>
              <c:strCache>
                <c:ptCount val="3"/>
                <c:pt idx="0">
                  <c:v>ASET</c:v>
                </c:pt>
                <c:pt idx="1">
                  <c:v>LIABILITAS</c:v>
                </c:pt>
                <c:pt idx="2">
                  <c:v>EKUITAS</c:v>
                </c:pt>
              </c:strCache>
            </c:strRef>
          </c:cat>
          <c:val>
            <c:numRef>
              <c:f>'Persiapan UAS'!$D$79:$D$81</c:f>
              <c:numCache>
                <c:formatCode>_(* #,##0_);_(* \(#,##0\);_(* "-"_);_(@_)</c:formatCode>
                <c:ptCount val="3"/>
                <c:pt idx="0">
                  <c:v>41961136.819311351</c:v>
                </c:pt>
                <c:pt idx="1">
                  <c:v>12306109.849494949</c:v>
                </c:pt>
                <c:pt idx="2">
                  <c:v>41961136.819311351</c:v>
                </c:pt>
              </c:numCache>
            </c:numRef>
          </c:val>
          <c:extLst>
            <c:ext xmlns:c16="http://schemas.microsoft.com/office/drawing/2014/chart" uri="{C3380CC4-5D6E-409C-BE32-E72D297353CC}">
              <c16:uniqueId val="{00000001-3664-4F82-AFB7-A5208D201FDC}"/>
            </c:ext>
          </c:extLst>
        </c:ser>
        <c:dLbls>
          <c:dLblPos val="ctr"/>
          <c:showLegendKey val="0"/>
          <c:showVal val="1"/>
          <c:showCatName val="0"/>
          <c:showSerName val="0"/>
          <c:showPercent val="0"/>
          <c:showBubbleSize val="0"/>
        </c:dLbls>
        <c:gapWidth val="79"/>
        <c:overlap val="100"/>
        <c:axId val="909528968"/>
        <c:axId val="834667640"/>
      </c:barChart>
      <c:catAx>
        <c:axId val="9095289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34667640"/>
        <c:crosses val="autoZero"/>
        <c:auto val="1"/>
        <c:lblAlgn val="ctr"/>
        <c:lblOffset val="100"/>
        <c:noMultiLvlLbl val="0"/>
      </c:catAx>
      <c:valAx>
        <c:axId val="834667640"/>
        <c:scaling>
          <c:orientation val="minMax"/>
        </c:scaling>
        <c:delete val="1"/>
        <c:axPos val="b"/>
        <c:numFmt formatCode="_(* #,##0_);_(* \(#,##0\);_(* &quot;-&quot;_);_(@_)" sourceLinked="1"/>
        <c:majorTickMark val="none"/>
        <c:minorTickMark val="none"/>
        <c:tickLblPos val="nextTo"/>
        <c:crossAx val="909528968"/>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r>
              <a:rPr lang="en-ID">
                <a:solidFill>
                  <a:srgbClr val="FFC000"/>
                </a:solidFill>
              </a:rPr>
              <a:t>Laporan Laba Rugi Komprehensif</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endParaRPr lang="en-US"/>
        </a:p>
      </c:txPr>
    </c:title>
    <c:autoTitleDeleted val="0"/>
    <c:plotArea>
      <c:layout/>
      <c:barChart>
        <c:barDir val="col"/>
        <c:grouping val="percentStacked"/>
        <c:varyColors val="0"/>
        <c:ser>
          <c:idx val="0"/>
          <c:order val="0"/>
          <c:tx>
            <c:strRef>
              <c:f>'Persiapan UAS'!$C$83</c:f>
              <c:strCache>
                <c:ptCount val="1"/>
                <c:pt idx="0">
                  <c:v>2024</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'Persiapan UAS'!$B$84:$B$86</c:f>
              <c:strCache>
                <c:ptCount val="3"/>
                <c:pt idx="0">
                  <c:v>PENDAPATAN DAN PENJUALAN LAINNYA</c:v>
                </c:pt>
                <c:pt idx="1">
                  <c:v>BEBAN POKOK PENJUALAN DAN LAINNYA</c:v>
                </c:pt>
                <c:pt idx="2">
                  <c:v>LABA NETO</c:v>
                </c:pt>
              </c:strCache>
            </c:strRef>
          </c:cat>
          <c:val>
            <c:numRef>
              <c:f>'Persiapan UAS'!$C$84:$C$86</c:f>
              <c:numCache>
                <c:formatCode>_(* #,##0_);_(* \(#,##0\);_(* "-"_);_(@_)</c:formatCode>
                <c:ptCount val="3"/>
                <c:pt idx="0">
                  <c:v>30755853.565656565</c:v>
                </c:pt>
                <c:pt idx="1">
                  <c:v>18935595.568567436</c:v>
                </c:pt>
                <c:pt idx="2">
                  <c:v>11655026.969816402</c:v>
                </c:pt>
              </c:numCache>
            </c:numRef>
          </c:val>
          <c:extLst>
            <c:ext xmlns:c16="http://schemas.microsoft.com/office/drawing/2014/chart" uri="{C3380CC4-5D6E-409C-BE32-E72D297353CC}">
              <c16:uniqueId val="{00000000-8E6A-441E-8872-E6F739ACA4D5}"/>
            </c:ext>
          </c:extLst>
        </c:ser>
        <c:ser>
          <c:idx val="1"/>
          <c:order val="1"/>
          <c:tx>
            <c:strRef>
              <c:f>'Persiapan UAS'!$D$83</c:f>
              <c:strCache>
                <c:ptCount val="1"/>
                <c:pt idx="0">
                  <c:v>2025</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'Persiapan UAS'!$B$84:$B$86</c:f>
              <c:strCache>
                <c:ptCount val="3"/>
                <c:pt idx="0">
                  <c:v>PENDAPATAN DAN PENJUALAN LAINNYA</c:v>
                </c:pt>
                <c:pt idx="1">
                  <c:v>BEBAN POKOK PENJUALAN DAN LAINNYA</c:v>
                </c:pt>
                <c:pt idx="2">
                  <c:v>LABA NETO</c:v>
                </c:pt>
              </c:strCache>
            </c:strRef>
          </c:cat>
          <c:val>
            <c:numRef>
              <c:f>'Persiapan UAS'!$D$84:$D$86</c:f>
              <c:numCache>
                <c:formatCode>_(* #,##0_);_(* \(#,##0\);_(* "-"_);_(@_)</c:formatCode>
                <c:ptCount val="3"/>
                <c:pt idx="0">
                  <c:v>66703400.106360339</c:v>
                </c:pt>
                <c:pt idx="1">
                  <c:v>41658539.245720446</c:v>
                </c:pt>
                <c:pt idx="2">
                  <c:v>25044860.860639893</c:v>
                </c:pt>
              </c:numCache>
            </c:numRef>
          </c:val>
          <c:extLst>
            <c:ext xmlns:c16="http://schemas.microsoft.com/office/drawing/2014/chart" uri="{C3380CC4-5D6E-409C-BE32-E72D297353CC}">
              <c16:uniqueId val="{00000001-8E6A-441E-8872-E6F739ACA4D5}"/>
            </c:ext>
          </c:extLst>
        </c:ser>
        <c:dLbls>
          <c:dLblPos val="ctr"/>
          <c:showLegendKey val="0"/>
          <c:showVal val="1"/>
          <c:showCatName val="0"/>
          <c:showSerName val="0"/>
          <c:showPercent val="0"/>
          <c:showBubbleSize val="0"/>
        </c:dLbls>
        <c:gapWidth val="150"/>
        <c:overlap val="100"/>
        <c:axId val="921263520"/>
        <c:axId val="921268200"/>
      </c:barChart>
      <c:catAx>
        <c:axId val="92126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90000"/>
                  </a:schemeClr>
                </a:solidFill>
                <a:latin typeface="+mn-lt"/>
                <a:ea typeface="+mn-ea"/>
                <a:cs typeface="+mn-cs"/>
              </a:defRPr>
            </a:pPr>
            <a:endParaRPr lang="en-US"/>
          </a:p>
        </c:txPr>
        <c:crossAx val="921268200"/>
        <c:crosses val="autoZero"/>
        <c:auto val="1"/>
        <c:lblAlgn val="ctr"/>
        <c:lblOffset val="100"/>
        <c:noMultiLvlLbl val="0"/>
      </c:catAx>
      <c:valAx>
        <c:axId val="921268200"/>
        <c:scaling>
          <c:orientation val="minMax"/>
        </c:scaling>
        <c:delete val="1"/>
        <c:axPos val="l"/>
        <c:numFmt formatCode="0%" sourceLinked="1"/>
        <c:majorTickMark val="none"/>
        <c:minorTickMark val="none"/>
        <c:tickLblPos val="nextTo"/>
        <c:crossAx val="921263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Transaksi!A1"/></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hyperlink" Target="#BTK!A1"/><Relationship Id="rId3" Type="http://schemas.openxmlformats.org/officeDocument/2006/relationships/hyperlink" Target="#Transaksi!A1"/><Relationship Id="rId7" Type="http://schemas.openxmlformats.org/officeDocument/2006/relationships/hyperlink" Target="#Awal!A1"/><Relationship Id="rId12" Type="http://schemas.openxmlformats.org/officeDocument/2006/relationships/image" Target="../media/image6.png"/><Relationship Id="rId2" Type="http://schemas.openxmlformats.org/officeDocument/2006/relationships/hyperlink" Target="#'Report II'!A1"/><Relationship Id="rId16" Type="http://schemas.openxmlformats.org/officeDocument/2006/relationships/hyperlink" Target="#Utang!A1"/><Relationship Id="rId1" Type="http://schemas.openxmlformats.org/officeDocument/2006/relationships/hyperlink" Target="#Report!A1"/><Relationship Id="rId6" Type="http://schemas.openxmlformats.org/officeDocument/2006/relationships/hyperlink" Target="#Measurements!A1"/><Relationship Id="rId11" Type="http://schemas.openxmlformats.org/officeDocument/2006/relationships/image" Target="../media/image5.png"/><Relationship Id="rId5" Type="http://schemas.openxmlformats.org/officeDocument/2006/relationships/hyperlink" Target="https://www.amazon.co.uk/stores/page/71D15A3C-489A-44BD-82B0-49C9F97D5FA5" TargetMode="External"/><Relationship Id="rId15" Type="http://schemas.openxmlformats.org/officeDocument/2006/relationships/hyperlink" Target="#'Aging Schedule'!A1"/><Relationship Id="rId10" Type="http://schemas.openxmlformats.org/officeDocument/2006/relationships/image" Target="../media/image4.svg"/><Relationship Id="rId4" Type="http://schemas.openxmlformats.org/officeDocument/2006/relationships/hyperlink" Target="#'General Legder'!A1"/><Relationship Id="rId9" Type="http://schemas.openxmlformats.org/officeDocument/2006/relationships/image" Target="../media/image3.png"/><Relationship Id="rId14" Type="http://schemas.openxmlformats.org/officeDocument/2006/relationships/hyperlink" Target="#Penyusutan!A1"/></Relationships>
</file>

<file path=xl/drawings/_rels/drawing3.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hyperlink" Target="#'Aging Schedule'!A1"/><Relationship Id="rId3" Type="http://schemas.openxmlformats.org/officeDocument/2006/relationships/hyperlink" Target="#Transaksi!A1"/><Relationship Id="rId7" Type="http://schemas.openxmlformats.org/officeDocument/2006/relationships/hyperlink" Target="#Awal!A1"/><Relationship Id="rId12" Type="http://schemas.openxmlformats.org/officeDocument/2006/relationships/hyperlink" Target="#Penyusutan!A1"/><Relationship Id="rId2" Type="http://schemas.openxmlformats.org/officeDocument/2006/relationships/hyperlink" Target="#'Report II'!A1"/><Relationship Id="rId1" Type="http://schemas.openxmlformats.org/officeDocument/2006/relationships/hyperlink" Target="#Report!A1"/><Relationship Id="rId6" Type="http://schemas.openxmlformats.org/officeDocument/2006/relationships/hyperlink" Target="#Measurements!A1"/><Relationship Id="rId11" Type="http://schemas.openxmlformats.org/officeDocument/2006/relationships/hyperlink" Target="#BTK!A1"/><Relationship Id="rId5" Type="http://schemas.openxmlformats.org/officeDocument/2006/relationships/hyperlink" Target="https://www.amazon.co.uk/stores/page/71D15A3C-489A-44BD-82B0-49C9F97D5FA5" TargetMode="External"/><Relationship Id="rId10" Type="http://schemas.openxmlformats.org/officeDocument/2006/relationships/image" Target="../media/image4.svg"/><Relationship Id="rId4" Type="http://schemas.openxmlformats.org/officeDocument/2006/relationships/hyperlink" Target="#'General Legder'!A1"/><Relationship Id="rId9" Type="http://schemas.openxmlformats.org/officeDocument/2006/relationships/image" Target="../media/image3.png"/><Relationship Id="rId14" Type="http://schemas.openxmlformats.org/officeDocument/2006/relationships/hyperlink" Target="#Utang!A1"/></Relationships>
</file>

<file path=xl/drawings/_rels/drawing4.xml.rels><?xml version="1.0" encoding="UTF-8" standalone="yes"?>
<Relationships xmlns="http://schemas.openxmlformats.org/package/2006/relationships"><Relationship Id="rId8" Type="http://schemas.openxmlformats.org/officeDocument/2006/relationships/hyperlink" Target="#Awal!A1"/><Relationship Id="rId13" Type="http://schemas.openxmlformats.org/officeDocument/2006/relationships/hyperlink" Target="#Penyusutan!A1"/><Relationship Id="rId3" Type="http://schemas.openxmlformats.org/officeDocument/2006/relationships/hyperlink" Target="#'Report II'!A1"/><Relationship Id="rId7" Type="http://schemas.openxmlformats.org/officeDocument/2006/relationships/hyperlink" Target="#Measurements!A1"/><Relationship Id="rId12" Type="http://schemas.openxmlformats.org/officeDocument/2006/relationships/hyperlink" Target="#BTK!A1"/><Relationship Id="rId2" Type="http://schemas.openxmlformats.org/officeDocument/2006/relationships/hyperlink" Target="#Report!A1"/><Relationship Id="rId1" Type="http://schemas.openxmlformats.org/officeDocument/2006/relationships/image" Target="../media/image7.png"/><Relationship Id="rId6" Type="http://schemas.openxmlformats.org/officeDocument/2006/relationships/hyperlink" Target="https://www.amazon.co.uk/stores/page/71D15A3C-489A-44BD-82B0-49C9F97D5FA5" TargetMode="External"/><Relationship Id="rId11" Type="http://schemas.openxmlformats.org/officeDocument/2006/relationships/image" Target="../media/image4.svg"/><Relationship Id="rId5" Type="http://schemas.openxmlformats.org/officeDocument/2006/relationships/hyperlink" Target="#'General Legder'!A1"/><Relationship Id="rId15" Type="http://schemas.openxmlformats.org/officeDocument/2006/relationships/hyperlink" Target="#Utang!A1"/><Relationship Id="rId10" Type="http://schemas.openxmlformats.org/officeDocument/2006/relationships/image" Target="../media/image3.png"/><Relationship Id="rId4" Type="http://schemas.openxmlformats.org/officeDocument/2006/relationships/hyperlink" Target="#Transaksi!A1"/><Relationship Id="rId9" Type="http://schemas.openxmlformats.org/officeDocument/2006/relationships/image" Target="../media/image2.png"/><Relationship Id="rId14" Type="http://schemas.openxmlformats.org/officeDocument/2006/relationships/hyperlink" Target="#'Aging Schedule'!A1"/></Relationships>
</file>

<file path=xl/drawings/_rels/drawing5.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hyperlink" Target="#'Aging Schedule'!A1"/><Relationship Id="rId3" Type="http://schemas.openxmlformats.org/officeDocument/2006/relationships/hyperlink" Target="#Transaksi!A1"/><Relationship Id="rId7" Type="http://schemas.openxmlformats.org/officeDocument/2006/relationships/hyperlink" Target="#Awal!A1"/><Relationship Id="rId12" Type="http://schemas.openxmlformats.org/officeDocument/2006/relationships/hyperlink" Target="#Penyusutan!A1"/><Relationship Id="rId2" Type="http://schemas.openxmlformats.org/officeDocument/2006/relationships/hyperlink" Target="#'Report II'!A1"/><Relationship Id="rId1" Type="http://schemas.openxmlformats.org/officeDocument/2006/relationships/hyperlink" Target="#Report!A1"/><Relationship Id="rId6" Type="http://schemas.openxmlformats.org/officeDocument/2006/relationships/hyperlink" Target="#Measurements!A1"/><Relationship Id="rId11" Type="http://schemas.openxmlformats.org/officeDocument/2006/relationships/hyperlink" Target="#BTK!A1"/><Relationship Id="rId5" Type="http://schemas.openxmlformats.org/officeDocument/2006/relationships/hyperlink" Target="https://www.amazon.co.uk/stores/page/71D15A3C-489A-44BD-82B0-49C9F97D5FA5" TargetMode="External"/><Relationship Id="rId10" Type="http://schemas.openxmlformats.org/officeDocument/2006/relationships/image" Target="../media/image4.svg"/><Relationship Id="rId4" Type="http://schemas.openxmlformats.org/officeDocument/2006/relationships/hyperlink" Target="#'General Legder'!A1"/><Relationship Id="rId9" Type="http://schemas.openxmlformats.org/officeDocument/2006/relationships/image" Target="../media/image3.png"/><Relationship Id="rId14" Type="http://schemas.openxmlformats.org/officeDocument/2006/relationships/hyperlink" Target="#Utang!A1"/></Relationships>
</file>

<file path=xl/drawings/_rels/drawing6.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hyperlink" Target="#'Aging Schedule'!A1"/><Relationship Id="rId3" Type="http://schemas.openxmlformats.org/officeDocument/2006/relationships/hyperlink" Target="#Transaksi!A1"/><Relationship Id="rId7" Type="http://schemas.openxmlformats.org/officeDocument/2006/relationships/hyperlink" Target="#Awal!A1"/><Relationship Id="rId12" Type="http://schemas.openxmlformats.org/officeDocument/2006/relationships/hyperlink" Target="#Penyusutan!A1"/><Relationship Id="rId2" Type="http://schemas.openxmlformats.org/officeDocument/2006/relationships/hyperlink" Target="#'Report II'!A1"/><Relationship Id="rId1" Type="http://schemas.openxmlformats.org/officeDocument/2006/relationships/hyperlink" Target="#Report!A1"/><Relationship Id="rId6" Type="http://schemas.openxmlformats.org/officeDocument/2006/relationships/hyperlink" Target="#Measurements!A1"/><Relationship Id="rId11" Type="http://schemas.openxmlformats.org/officeDocument/2006/relationships/hyperlink" Target="#BTK!A1"/><Relationship Id="rId5" Type="http://schemas.openxmlformats.org/officeDocument/2006/relationships/hyperlink" Target="https://www.amazon.co.uk/stores/page/71D15A3C-489A-44BD-82B0-49C9F97D5FA5" TargetMode="External"/><Relationship Id="rId10" Type="http://schemas.openxmlformats.org/officeDocument/2006/relationships/image" Target="../media/image4.svg"/><Relationship Id="rId4" Type="http://schemas.openxmlformats.org/officeDocument/2006/relationships/hyperlink" Target="#'General Legder'!A1"/><Relationship Id="rId9" Type="http://schemas.openxmlformats.org/officeDocument/2006/relationships/image" Target="../media/image3.png"/><Relationship Id="rId14" Type="http://schemas.openxmlformats.org/officeDocument/2006/relationships/hyperlink" Target="#Utang!A1"/></Relationships>
</file>

<file path=xl/drawings/_rels/drawing7.xml.rels><?xml version="1.0" encoding="UTF-8" standalone="yes"?>
<Relationships xmlns="http://schemas.openxmlformats.org/package/2006/relationships"><Relationship Id="rId8" Type="http://schemas.openxmlformats.org/officeDocument/2006/relationships/hyperlink" Target="#'General Legder'!A1"/><Relationship Id="rId13" Type="http://schemas.openxmlformats.org/officeDocument/2006/relationships/image" Target="../media/image3.png"/><Relationship Id="rId3" Type="http://schemas.openxmlformats.org/officeDocument/2006/relationships/image" Target="../media/image9.svg"/><Relationship Id="rId7" Type="http://schemas.openxmlformats.org/officeDocument/2006/relationships/hyperlink" Target="#Transaksi!A1"/><Relationship Id="rId12" Type="http://schemas.openxmlformats.org/officeDocument/2006/relationships/image" Target="../media/image2.png"/><Relationship Id="rId2" Type="http://schemas.openxmlformats.org/officeDocument/2006/relationships/image" Target="../media/image8.png"/><Relationship Id="rId1" Type="http://schemas.openxmlformats.org/officeDocument/2006/relationships/hyperlink" Target="#'GL Paper Version'!A1"/><Relationship Id="rId6" Type="http://schemas.openxmlformats.org/officeDocument/2006/relationships/hyperlink" Target="#'Report II'!A1"/><Relationship Id="rId11" Type="http://schemas.openxmlformats.org/officeDocument/2006/relationships/hyperlink" Target="#Awal!A1"/><Relationship Id="rId5" Type="http://schemas.openxmlformats.org/officeDocument/2006/relationships/hyperlink" Target="#Report!A1"/><Relationship Id="rId15" Type="http://schemas.openxmlformats.org/officeDocument/2006/relationships/hyperlink" Target="#'Transaksi (2)'!A1"/><Relationship Id="rId10" Type="http://schemas.openxmlformats.org/officeDocument/2006/relationships/hyperlink" Target="#Measurements!A1"/><Relationship Id="rId4" Type="http://schemas.openxmlformats.org/officeDocument/2006/relationships/hyperlink" Target="https://drive.google.com/drive/folders/1p52f2yw5pPFeNZNDE6O6RSHtAkfDOeF0" TargetMode="External"/><Relationship Id="rId9" Type="http://schemas.openxmlformats.org/officeDocument/2006/relationships/hyperlink" Target="https://www.amazon.co.uk/stores/page/71D15A3C-489A-44BD-82B0-49C9F97D5FA5" TargetMode="External"/><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hyperlink" Target="#'General Legder'!A1"/><Relationship Id="rId13" Type="http://schemas.openxmlformats.org/officeDocument/2006/relationships/image" Target="../media/image3.png"/><Relationship Id="rId3" Type="http://schemas.openxmlformats.org/officeDocument/2006/relationships/image" Target="../media/image9.svg"/><Relationship Id="rId7" Type="http://schemas.openxmlformats.org/officeDocument/2006/relationships/hyperlink" Target="#Transaksi!A1"/><Relationship Id="rId12" Type="http://schemas.openxmlformats.org/officeDocument/2006/relationships/image" Target="../media/image2.png"/><Relationship Id="rId2" Type="http://schemas.openxmlformats.org/officeDocument/2006/relationships/image" Target="../media/image8.png"/><Relationship Id="rId1" Type="http://schemas.openxmlformats.org/officeDocument/2006/relationships/hyperlink" Target="#'GL Paper Version'!A1"/><Relationship Id="rId6" Type="http://schemas.openxmlformats.org/officeDocument/2006/relationships/hyperlink" Target="#'Report II'!A1"/><Relationship Id="rId11" Type="http://schemas.openxmlformats.org/officeDocument/2006/relationships/hyperlink" Target="#Awal!A1"/><Relationship Id="rId5" Type="http://schemas.openxmlformats.org/officeDocument/2006/relationships/hyperlink" Target="#Report!A1"/><Relationship Id="rId15" Type="http://schemas.openxmlformats.org/officeDocument/2006/relationships/hyperlink" Target="#'Transaksi (2)'!A1"/><Relationship Id="rId10" Type="http://schemas.openxmlformats.org/officeDocument/2006/relationships/hyperlink" Target="#Measurements!A1"/><Relationship Id="rId4" Type="http://schemas.openxmlformats.org/officeDocument/2006/relationships/hyperlink" Target="https://drive.google.com/drive/u/0/home" TargetMode="External"/><Relationship Id="rId9" Type="http://schemas.openxmlformats.org/officeDocument/2006/relationships/hyperlink" Target="https://www.amazon.co.uk/stores/page/71D15A3C-489A-44BD-82B0-49C9F97D5FA5" TargetMode="External"/><Relationship Id="rId14" Type="http://schemas.openxmlformats.org/officeDocument/2006/relationships/image" Target="../media/image4.svg"/></Relationships>
</file>

<file path=xl/drawings/_rels/drawing9.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hyperlink" Target="#Transaksi!A1"/><Relationship Id="rId7" Type="http://schemas.openxmlformats.org/officeDocument/2006/relationships/hyperlink" Target="#Awal!A1"/><Relationship Id="rId2" Type="http://schemas.openxmlformats.org/officeDocument/2006/relationships/hyperlink" Target="#'Report II'!A1"/><Relationship Id="rId1" Type="http://schemas.openxmlformats.org/officeDocument/2006/relationships/hyperlink" Target="#Report!A1"/><Relationship Id="rId6" Type="http://schemas.openxmlformats.org/officeDocument/2006/relationships/hyperlink" Target="#Measurements!A1"/><Relationship Id="rId5" Type="http://schemas.openxmlformats.org/officeDocument/2006/relationships/hyperlink" Target="https://www.amazon.co.uk/stores/page/71D15A3C-489A-44BD-82B0-49C9F97D5FA5" TargetMode="External"/><Relationship Id="rId10" Type="http://schemas.openxmlformats.org/officeDocument/2006/relationships/image" Target="../media/image4.svg"/><Relationship Id="rId4" Type="http://schemas.openxmlformats.org/officeDocument/2006/relationships/hyperlink" Target="#'General Legder'!A1"/><Relationship Id="rId9"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hyperlink" Target="#'Neraca Saldo'!A1"/><Relationship Id="rId2" Type="http://schemas.openxmlformats.org/officeDocument/2006/relationships/hyperlink" Target="#'Neraca Saldo 2026'!A1"/><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3" Type="http://schemas.openxmlformats.org/officeDocument/2006/relationships/hyperlink" Target="#'Neraca Saldo 2026'!A1"/><Relationship Id="rId2" Type="http://schemas.openxmlformats.org/officeDocument/2006/relationships/hyperlink" Target="#'Neraca Saldo'!A1"/><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2.svg"/><Relationship Id="rId2" Type="http://schemas.openxmlformats.org/officeDocument/2006/relationships/image" Target="../media/image11.png"/><Relationship Id="rId1" Type="http://schemas.openxmlformats.org/officeDocument/2006/relationships/hyperlink" Target="#'Report II'!A1"/></Relationships>
</file>

<file path=xl/drawings/_rels/drawing13.xml.rels><?xml version="1.0" encoding="UTF-8" standalone="yes"?>
<Relationships xmlns="http://schemas.openxmlformats.org/package/2006/relationships"><Relationship Id="rId3" Type="http://schemas.openxmlformats.org/officeDocument/2006/relationships/image" Target="../media/image12.svg"/><Relationship Id="rId2" Type="http://schemas.openxmlformats.org/officeDocument/2006/relationships/image" Target="../media/image11.png"/><Relationship Id="rId1" Type="http://schemas.openxmlformats.org/officeDocument/2006/relationships/hyperlink" Target="#'Report II'!A1"/></Relationships>
</file>

<file path=xl/drawings/_rels/drawing14.xml.rels><?xml version="1.0" encoding="UTF-8" standalone="yes"?>
<Relationships xmlns="http://schemas.openxmlformats.org/package/2006/relationships"><Relationship Id="rId3" Type="http://schemas.openxmlformats.org/officeDocument/2006/relationships/image" Target="../media/image12.svg"/><Relationship Id="rId2" Type="http://schemas.openxmlformats.org/officeDocument/2006/relationships/image" Target="../media/image11.png"/><Relationship Id="rId1" Type="http://schemas.openxmlformats.org/officeDocument/2006/relationships/hyperlink" Target="#'Report II'!A1"/><Relationship Id="rId4" Type="http://schemas.openxmlformats.org/officeDocument/2006/relationships/image" Target="../media/image13.emf"/></Relationships>
</file>

<file path=xl/drawings/_rels/drawing15.xml.rels><?xml version="1.0" encoding="UTF-8" standalone="yes"?>
<Relationships xmlns="http://schemas.openxmlformats.org/package/2006/relationships"><Relationship Id="rId3" Type="http://schemas.openxmlformats.org/officeDocument/2006/relationships/image" Target="../media/image12.svg"/><Relationship Id="rId2" Type="http://schemas.openxmlformats.org/officeDocument/2006/relationships/image" Target="../media/image11.png"/><Relationship Id="rId1" Type="http://schemas.openxmlformats.org/officeDocument/2006/relationships/hyperlink" Target="#'Report II'!A1"/><Relationship Id="rId4" Type="http://schemas.openxmlformats.org/officeDocument/2006/relationships/image" Target="../media/image15.emf"/></Relationships>
</file>

<file path=xl/drawings/_rels/drawing16.xml.rels><?xml version="1.0" encoding="UTF-8" standalone="yes"?>
<Relationships xmlns="http://schemas.openxmlformats.org/package/2006/relationships"><Relationship Id="rId8" Type="http://schemas.openxmlformats.org/officeDocument/2006/relationships/hyperlink" Target="#Awal!A1"/><Relationship Id="rId13" Type="http://schemas.openxmlformats.org/officeDocument/2006/relationships/image" Target="../media/image26.png"/><Relationship Id="rId18" Type="http://schemas.openxmlformats.org/officeDocument/2006/relationships/hyperlink" Target="#LR!A1"/><Relationship Id="rId26" Type="http://schemas.openxmlformats.org/officeDocument/2006/relationships/chart" Target="../charts/chart4.xml"/><Relationship Id="rId3" Type="http://schemas.openxmlformats.org/officeDocument/2006/relationships/image" Target="../media/image18.png"/><Relationship Id="rId21" Type="http://schemas.openxmlformats.org/officeDocument/2006/relationships/hyperlink" Target="#LPK!A1"/><Relationship Id="rId7" Type="http://schemas.openxmlformats.org/officeDocument/2006/relationships/chart" Target="../charts/chart1.xml"/><Relationship Id="rId12" Type="http://schemas.openxmlformats.org/officeDocument/2006/relationships/image" Target="../media/image25.svg"/><Relationship Id="rId17" Type="http://schemas.openxmlformats.org/officeDocument/2006/relationships/image" Target="../media/image29.svg"/><Relationship Id="rId25" Type="http://schemas.openxmlformats.org/officeDocument/2006/relationships/chart" Target="../charts/chart3.xml"/><Relationship Id="rId2" Type="http://schemas.openxmlformats.org/officeDocument/2006/relationships/image" Target="../media/image17.png"/><Relationship Id="rId16" Type="http://schemas.openxmlformats.org/officeDocument/2006/relationships/image" Target="../media/image28.png"/><Relationship Id="rId20" Type="http://schemas.openxmlformats.org/officeDocument/2006/relationships/image" Target="../media/image31.svg"/><Relationship Id="rId1" Type="http://schemas.openxmlformats.org/officeDocument/2006/relationships/image" Target="../media/image1.png"/><Relationship Id="rId6" Type="http://schemas.openxmlformats.org/officeDocument/2006/relationships/image" Target="../media/image21.svg"/><Relationship Id="rId11" Type="http://schemas.openxmlformats.org/officeDocument/2006/relationships/image" Target="../media/image24.png"/><Relationship Id="rId24" Type="http://schemas.openxmlformats.org/officeDocument/2006/relationships/chart" Target="../charts/chart2.xml"/><Relationship Id="rId5" Type="http://schemas.openxmlformats.org/officeDocument/2006/relationships/image" Target="../media/image20.png"/><Relationship Id="rId15" Type="http://schemas.openxmlformats.org/officeDocument/2006/relationships/hyperlink" Target="#Report!A1"/><Relationship Id="rId23" Type="http://schemas.openxmlformats.org/officeDocument/2006/relationships/hyperlink" Target="#LPM!A1"/><Relationship Id="rId10" Type="http://schemas.openxmlformats.org/officeDocument/2006/relationships/image" Target="../media/image23.svg"/><Relationship Id="rId19" Type="http://schemas.openxmlformats.org/officeDocument/2006/relationships/image" Target="../media/image30.png"/><Relationship Id="rId4" Type="http://schemas.openxmlformats.org/officeDocument/2006/relationships/image" Target="../media/image19.svg"/><Relationship Id="rId9" Type="http://schemas.openxmlformats.org/officeDocument/2006/relationships/image" Target="../media/image22.png"/><Relationship Id="rId14" Type="http://schemas.openxmlformats.org/officeDocument/2006/relationships/image" Target="../media/image27.svg"/><Relationship Id="rId22" Type="http://schemas.openxmlformats.org/officeDocument/2006/relationships/hyperlink" Target="#'Arus Kas'!A1"/></Relationships>
</file>

<file path=xl/drawings/_rels/drawing17.xml.rels><?xml version="1.0" encoding="UTF-8" standalone="yes"?>
<Relationships xmlns="http://schemas.openxmlformats.org/package/2006/relationships"><Relationship Id="rId8" Type="http://schemas.openxmlformats.org/officeDocument/2006/relationships/image" Target="../media/image36.emf"/><Relationship Id="rId3" Type="http://schemas.openxmlformats.org/officeDocument/2006/relationships/image" Target="../media/image33.emf"/><Relationship Id="rId7" Type="http://schemas.openxmlformats.org/officeDocument/2006/relationships/chart" Target="../charts/chart7.xml"/><Relationship Id="rId2" Type="http://schemas.openxmlformats.org/officeDocument/2006/relationships/chart" Target="../charts/chart5.xml"/><Relationship Id="rId1" Type="http://schemas.openxmlformats.org/officeDocument/2006/relationships/image" Target="../media/image32.emf"/><Relationship Id="rId6" Type="http://schemas.openxmlformats.org/officeDocument/2006/relationships/chart" Target="../charts/chart6.xml"/><Relationship Id="rId5" Type="http://schemas.openxmlformats.org/officeDocument/2006/relationships/image" Target="../media/image35.emf"/><Relationship Id="rId10" Type="http://schemas.openxmlformats.org/officeDocument/2006/relationships/image" Target="../media/image38.emf"/><Relationship Id="rId4" Type="http://schemas.openxmlformats.org/officeDocument/2006/relationships/image" Target="../media/image34.emf"/><Relationship Id="rId9" Type="http://schemas.openxmlformats.org/officeDocument/2006/relationships/image" Target="../media/image37.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4.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6.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41.emf"/><Relationship Id="rId7" Type="http://schemas.openxmlformats.org/officeDocument/2006/relationships/image" Target="../media/image45.emf"/><Relationship Id="rId2" Type="http://schemas.openxmlformats.org/officeDocument/2006/relationships/image" Target="../media/image40.emf"/><Relationship Id="rId1" Type="http://schemas.openxmlformats.org/officeDocument/2006/relationships/image" Target="../media/image39.emf"/><Relationship Id="rId6" Type="http://schemas.openxmlformats.org/officeDocument/2006/relationships/image" Target="../media/image44.emf"/><Relationship Id="rId5" Type="http://schemas.openxmlformats.org/officeDocument/2006/relationships/image" Target="../media/image43.emf"/><Relationship Id="rId4" Type="http://schemas.openxmlformats.org/officeDocument/2006/relationships/image" Target="../media/image42.emf"/></Relationships>
</file>

<file path=xl/drawings/drawing1.xml><?xml version="1.0" encoding="utf-8"?>
<xdr:wsDr xmlns:xdr="http://schemas.openxmlformats.org/drawingml/2006/spreadsheetDrawing" xmlns:a="http://schemas.openxmlformats.org/drawingml/2006/main">
  <xdr:twoCellAnchor>
    <xdr:from>
      <xdr:col>2</xdr:col>
      <xdr:colOff>171449</xdr:colOff>
      <xdr:row>6</xdr:row>
      <xdr:rowOff>66675</xdr:rowOff>
    </xdr:from>
    <xdr:to>
      <xdr:col>18</xdr:col>
      <xdr:colOff>238124</xdr:colOff>
      <xdr:row>9</xdr:row>
      <xdr:rowOff>57150</xdr:rowOff>
    </xdr:to>
    <xdr:sp macro="" textlink="">
      <xdr:nvSpPr>
        <xdr:cNvPr id="6" name="TextBox 5">
          <a:hlinkClick xmlns:r="http://schemas.openxmlformats.org/officeDocument/2006/relationships" r:id="rId1"/>
          <a:extLst>
            <a:ext uri="{FF2B5EF4-FFF2-40B4-BE49-F238E27FC236}">
              <a16:creationId xmlns:a16="http://schemas.microsoft.com/office/drawing/2014/main" id="{ABA12DA8-34EF-4C6F-90A8-1B7AF1E060E7}"/>
            </a:ext>
          </a:extLst>
        </xdr:cNvPr>
        <xdr:cNvSpPr txBox="1"/>
      </xdr:nvSpPr>
      <xdr:spPr>
        <a:xfrm>
          <a:off x="2000249" y="1209675"/>
          <a:ext cx="9820275" cy="5619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2800" b="1" kern="1200">
              <a:solidFill>
                <a:schemeClr val="bg1"/>
              </a:solidFill>
              <a:effectLst>
                <a:outerShdw blurRad="50800" dist="50800" dir="5400000" algn="ctr" rotWithShape="0">
                  <a:schemeClr val="tx1"/>
                </a:outerShdw>
              </a:effectLst>
              <a:latin typeface="Avenir Next LT Pro" panose="020B0504020202020204" pitchFamily="34" charset="0"/>
            </a:rPr>
            <a:t>DATABASE</a:t>
          </a:r>
          <a:r>
            <a:rPr lang="en-ID" sz="2800" b="1" kern="1200" baseline="0">
              <a:solidFill>
                <a:schemeClr val="bg1"/>
              </a:solidFill>
              <a:effectLst>
                <a:outerShdw blurRad="50800" dist="50800" dir="5400000" algn="ctr" rotWithShape="0">
                  <a:schemeClr val="tx1"/>
                </a:outerShdw>
              </a:effectLst>
              <a:latin typeface="Avenir Next LT Pro" panose="020B0504020202020204" pitchFamily="34" charset="0"/>
            </a:rPr>
            <a:t> KEUANGAN PT URBANE STITCH INDONESIA</a:t>
          </a:r>
        </a:p>
        <a:p>
          <a:endParaRPr lang="en-ID" sz="2800" b="1" kern="1200">
            <a:solidFill>
              <a:schemeClr val="bg1"/>
            </a:solidFill>
            <a:effectLst>
              <a:outerShdw blurRad="50800" dist="50800" dir="5400000" algn="ctr" rotWithShape="0">
                <a:schemeClr val="tx1"/>
              </a:outerShdw>
            </a:effectLst>
            <a:latin typeface="Avenir Next LT Pro" panose="020B0504020202020204" pitchFamily="34" charset="0"/>
          </a:endParaRPr>
        </a:p>
      </xdr:txBody>
    </xdr:sp>
    <xdr:clientData/>
  </xdr:twoCellAnchor>
  <xdr:twoCellAnchor>
    <xdr:from>
      <xdr:col>7</xdr:col>
      <xdr:colOff>457200</xdr:colOff>
      <xdr:row>23</xdr:row>
      <xdr:rowOff>142875</xdr:rowOff>
    </xdr:from>
    <xdr:to>
      <xdr:col>12</xdr:col>
      <xdr:colOff>34442</xdr:colOff>
      <xdr:row>25</xdr:row>
      <xdr:rowOff>104775</xdr:rowOff>
    </xdr:to>
    <xdr:grpSp>
      <xdr:nvGrpSpPr>
        <xdr:cNvPr id="10" name="Group 9">
          <a:extLst>
            <a:ext uri="{FF2B5EF4-FFF2-40B4-BE49-F238E27FC236}">
              <a16:creationId xmlns:a16="http://schemas.microsoft.com/office/drawing/2014/main" id="{253705FD-1D8B-4F18-B382-18B04C13541E}"/>
            </a:ext>
          </a:extLst>
        </xdr:cNvPr>
        <xdr:cNvGrpSpPr/>
      </xdr:nvGrpSpPr>
      <xdr:grpSpPr>
        <a:xfrm>
          <a:off x="4724400" y="4524375"/>
          <a:ext cx="2625242" cy="342900"/>
          <a:chOff x="575262" y="952500"/>
          <a:chExt cx="1577388" cy="342900"/>
        </a:xfrm>
        <a:solidFill>
          <a:srgbClr val="A888B5"/>
        </a:solidFill>
        <a:effectLst>
          <a:outerShdw blurRad="50800" dist="38100" dir="5400000" algn="t" rotWithShape="0">
            <a:prstClr val="black">
              <a:alpha val="40000"/>
            </a:prstClr>
          </a:outerShdw>
        </a:effectLst>
      </xdr:grpSpPr>
      <xdr:sp macro="" textlink="">
        <xdr:nvSpPr>
          <xdr:cNvPr id="11" name="Rectangle: Rounded Corners 10">
            <a:extLst>
              <a:ext uri="{FF2B5EF4-FFF2-40B4-BE49-F238E27FC236}">
                <a16:creationId xmlns:a16="http://schemas.microsoft.com/office/drawing/2014/main" id="{5EF40010-FFE5-CC16-7677-3980F51C707B}"/>
              </a:ext>
            </a:extLst>
          </xdr:cNvPr>
          <xdr:cNvSpPr/>
        </xdr:nvSpPr>
        <xdr:spPr>
          <a:xfrm>
            <a:off x="609600" y="952500"/>
            <a:ext cx="1543050" cy="342900"/>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12" name="TextBox 11">
            <a:hlinkClick xmlns:r="http://schemas.openxmlformats.org/officeDocument/2006/relationships" r:id="rId1"/>
            <a:extLst>
              <a:ext uri="{FF2B5EF4-FFF2-40B4-BE49-F238E27FC236}">
                <a16:creationId xmlns:a16="http://schemas.microsoft.com/office/drawing/2014/main" id="{1D2F7D64-A82F-BE36-B78C-827AEEE0635E}"/>
              </a:ext>
            </a:extLst>
          </xdr:cNvPr>
          <xdr:cNvSpPr txBox="1"/>
        </xdr:nvSpPr>
        <xdr:spPr>
          <a:xfrm>
            <a:off x="575262" y="962025"/>
            <a:ext cx="1568140" cy="31008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200" b="1" i="0" u="none" strike="noStrike" kern="1200" baseline="0">
                <a:solidFill>
                  <a:schemeClr val="bg1"/>
                </a:solidFill>
                <a:latin typeface="Avenir Next LT Pro" panose="020B0504020202020204" pitchFamily="34" charset="0"/>
              </a:rPr>
              <a:t>MULAI</a:t>
            </a:r>
          </a:p>
        </xdr:txBody>
      </xdr:sp>
    </xdr:grpSp>
    <xdr:clientData/>
  </xdr:twoCellAnchor>
  <xdr:twoCellAnchor editAs="oneCell">
    <xdr:from>
      <xdr:col>3</xdr:col>
      <xdr:colOff>457200</xdr:colOff>
      <xdr:row>10</xdr:row>
      <xdr:rowOff>171450</xdr:rowOff>
    </xdr:from>
    <xdr:to>
      <xdr:col>16</xdr:col>
      <xdr:colOff>266700</xdr:colOff>
      <xdr:row>20</xdr:row>
      <xdr:rowOff>66676</xdr:rowOff>
    </xdr:to>
    <xdr:pic>
      <xdr:nvPicPr>
        <xdr:cNvPr id="3" name="Picture 2">
          <a:hlinkClick xmlns:r="http://schemas.openxmlformats.org/officeDocument/2006/relationships" r:id="rId1"/>
          <a:extLst>
            <a:ext uri="{FF2B5EF4-FFF2-40B4-BE49-F238E27FC236}">
              <a16:creationId xmlns:a16="http://schemas.microsoft.com/office/drawing/2014/main" id="{CDB72994-91A0-C910-BD6D-B156299DAE69}"/>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8333" t="29743" r="6014" b="34903"/>
        <a:stretch/>
      </xdr:blipFill>
      <xdr:spPr>
        <a:xfrm>
          <a:off x="2895600" y="2076450"/>
          <a:ext cx="7734300" cy="18002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396876</xdr:colOff>
      <xdr:row>2</xdr:row>
      <xdr:rowOff>0</xdr:rowOff>
    </xdr:to>
    <xdr:grpSp>
      <xdr:nvGrpSpPr>
        <xdr:cNvPr id="3" name="Group 2">
          <a:extLst>
            <a:ext uri="{FF2B5EF4-FFF2-40B4-BE49-F238E27FC236}">
              <a16:creationId xmlns:a16="http://schemas.microsoft.com/office/drawing/2014/main" id="{A85AF661-8A3C-46DD-8A59-25459575603B}"/>
            </a:ext>
          </a:extLst>
        </xdr:cNvPr>
        <xdr:cNvGrpSpPr/>
      </xdr:nvGrpSpPr>
      <xdr:grpSpPr>
        <a:xfrm>
          <a:off x="0" y="0"/>
          <a:ext cx="13550901" cy="381000"/>
          <a:chOff x="0" y="0"/>
          <a:chExt cx="13554076" cy="381000"/>
        </a:xfrm>
      </xdr:grpSpPr>
      <xdr:grpSp>
        <xdr:nvGrpSpPr>
          <xdr:cNvPr id="4" name="Group 3">
            <a:extLst>
              <a:ext uri="{FF2B5EF4-FFF2-40B4-BE49-F238E27FC236}">
                <a16:creationId xmlns:a16="http://schemas.microsoft.com/office/drawing/2014/main" id="{B144EBF4-86F6-BE3C-C5CE-03678789E9E6}"/>
              </a:ext>
            </a:extLst>
          </xdr:cNvPr>
          <xdr:cNvGrpSpPr/>
        </xdr:nvGrpSpPr>
        <xdr:grpSpPr>
          <a:xfrm>
            <a:off x="0" y="0"/>
            <a:ext cx="13554076" cy="381000"/>
            <a:chOff x="0" y="0"/>
            <a:chExt cx="13554076" cy="381000"/>
          </a:xfrm>
        </xdr:grpSpPr>
        <xdr:grpSp>
          <xdr:nvGrpSpPr>
            <xdr:cNvPr id="6" name="Group 5">
              <a:extLst>
                <a:ext uri="{FF2B5EF4-FFF2-40B4-BE49-F238E27FC236}">
                  <a16:creationId xmlns:a16="http://schemas.microsoft.com/office/drawing/2014/main" id="{182DD8F7-FD75-E820-014A-F5D967CF2C85}"/>
                </a:ext>
              </a:extLst>
            </xdr:cNvPr>
            <xdr:cNvGrpSpPr/>
          </xdr:nvGrpSpPr>
          <xdr:grpSpPr>
            <a:xfrm>
              <a:off x="0" y="0"/>
              <a:ext cx="13554076" cy="381000"/>
              <a:chOff x="0" y="0"/>
              <a:chExt cx="13554076" cy="381000"/>
            </a:xfrm>
          </xdr:grpSpPr>
          <xdr:grpSp>
            <xdr:nvGrpSpPr>
              <xdr:cNvPr id="8" name="Group 7">
                <a:extLst>
                  <a:ext uri="{FF2B5EF4-FFF2-40B4-BE49-F238E27FC236}">
                    <a16:creationId xmlns:a16="http://schemas.microsoft.com/office/drawing/2014/main" id="{EE393B72-32D7-40AF-F67B-6FD5B8850AA7}"/>
                  </a:ext>
                </a:extLst>
              </xdr:cNvPr>
              <xdr:cNvGrpSpPr/>
            </xdr:nvGrpSpPr>
            <xdr:grpSpPr>
              <a:xfrm>
                <a:off x="0" y="0"/>
                <a:ext cx="13554076" cy="360000"/>
                <a:chOff x="0" y="0"/>
                <a:chExt cx="13554076" cy="352424"/>
              </a:xfr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2700000" scaled="1"/>
                <a:tileRect/>
              </a:gradFill>
              <a:effectLst>
                <a:outerShdw blurRad="50800" dist="38100" dir="5400000" algn="t" rotWithShape="0">
                  <a:prstClr val="black">
                    <a:alpha val="40000"/>
                  </a:prstClr>
                </a:outerShdw>
              </a:effectLst>
            </xdr:grpSpPr>
            <xdr:sp macro="" textlink="">
              <xdr:nvSpPr>
                <xdr:cNvPr id="10" name="Rectangle 9">
                  <a:extLst>
                    <a:ext uri="{FF2B5EF4-FFF2-40B4-BE49-F238E27FC236}">
                      <a16:creationId xmlns:a16="http://schemas.microsoft.com/office/drawing/2014/main" id="{E6D75491-CE14-54A7-F072-2198CD384C54}"/>
                    </a:ext>
                  </a:extLst>
                </xdr:cNvPr>
                <xdr:cNvSpPr/>
              </xdr:nvSpPr>
              <xdr:spPr>
                <a:xfrm>
                  <a:off x="0" y="0"/>
                  <a:ext cx="13554076" cy="352424"/>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11" name="TextBox 10">
                  <a:hlinkClick xmlns:r="http://schemas.openxmlformats.org/officeDocument/2006/relationships" r:id="rId1" tooltip="Reports"/>
                  <a:extLst>
                    <a:ext uri="{FF2B5EF4-FFF2-40B4-BE49-F238E27FC236}">
                      <a16:creationId xmlns:a16="http://schemas.microsoft.com/office/drawing/2014/main" id="{A0B454F0-D298-273E-EEE3-36176187DF26}"/>
                    </a:ext>
                  </a:extLst>
                </xdr:cNvPr>
                <xdr:cNvSpPr txBox="1"/>
              </xdr:nvSpPr>
              <xdr:spPr>
                <a:xfrm>
                  <a:off x="10187147" y="37499"/>
                  <a:ext cx="986167"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Reports</a:t>
                  </a:r>
                </a:p>
              </xdr:txBody>
            </xdr:sp>
            <xdr:sp macro="" textlink="">
              <xdr:nvSpPr>
                <xdr:cNvPr id="12" name="TextBox 11">
                  <a:hlinkClick xmlns:r="http://schemas.openxmlformats.org/officeDocument/2006/relationships" r:id="rId2" tooltip="Project Status"/>
                  <a:extLst>
                    <a:ext uri="{FF2B5EF4-FFF2-40B4-BE49-F238E27FC236}">
                      <a16:creationId xmlns:a16="http://schemas.microsoft.com/office/drawing/2014/main" id="{A811E3EB-84C6-B30B-7CE9-63897FBA17CE}"/>
                    </a:ext>
                  </a:extLst>
                </xdr:cNvPr>
                <xdr:cNvSpPr txBox="1"/>
              </xdr:nvSpPr>
              <xdr:spPr>
                <a:xfrm>
                  <a:off x="10855602"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Dashboard</a:t>
                  </a:r>
                </a:p>
              </xdr:txBody>
            </xdr:sp>
            <xdr:sp macro="" textlink="">
              <xdr:nvSpPr>
                <xdr:cNvPr id="13" name="TextBox 12">
                  <a:hlinkClick xmlns:r="http://schemas.openxmlformats.org/officeDocument/2006/relationships" r:id="rId3" tooltip="Income Sources"/>
                  <a:extLst>
                    <a:ext uri="{FF2B5EF4-FFF2-40B4-BE49-F238E27FC236}">
                      <a16:creationId xmlns:a16="http://schemas.microsoft.com/office/drawing/2014/main" id="{50FB9715-0C5E-5129-6F11-4C6C19A3369B}"/>
                    </a:ext>
                  </a:extLst>
                </xdr:cNvPr>
                <xdr:cNvSpPr txBox="1"/>
              </xdr:nvSpPr>
              <xdr:spPr>
                <a:xfrm>
                  <a:off x="7702827" y="28575"/>
                  <a:ext cx="1212640"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Genenral</a:t>
                  </a:r>
                  <a:r>
                    <a:rPr lang="en-ID" sz="1100" kern="1200" baseline="0">
                      <a:solidFill>
                        <a:schemeClr val="bg1"/>
                      </a:solidFill>
                      <a:latin typeface="Avenir Next LT Pro" panose="020B0504020202020204" pitchFamily="34" charset="0"/>
                    </a:rPr>
                    <a:t> Journal</a:t>
                  </a:r>
                  <a:endParaRPr lang="en-ID" sz="1100" kern="1200">
                    <a:solidFill>
                      <a:schemeClr val="bg1"/>
                    </a:solidFill>
                    <a:latin typeface="Avenir Next LT Pro" panose="020B0504020202020204" pitchFamily="34" charset="0"/>
                  </a:endParaRPr>
                </a:p>
              </xdr:txBody>
            </xdr:sp>
            <xdr:sp macro="" textlink="">
              <xdr:nvSpPr>
                <xdr:cNvPr id="14" name="TextBox 13">
                  <a:hlinkClick xmlns:r="http://schemas.openxmlformats.org/officeDocument/2006/relationships" r:id="rId4" tooltip="RAPBO"/>
                  <a:extLst>
                    <a:ext uri="{FF2B5EF4-FFF2-40B4-BE49-F238E27FC236}">
                      <a16:creationId xmlns:a16="http://schemas.microsoft.com/office/drawing/2014/main" id="{CA9B0F21-2B4C-1691-71B2-B5A0E53B524C}"/>
                    </a:ext>
                  </a:extLst>
                </xdr:cNvPr>
                <xdr:cNvSpPr txBox="1"/>
              </xdr:nvSpPr>
              <xdr:spPr>
                <a:xfrm>
                  <a:off x="9045431" y="28575"/>
                  <a:ext cx="1193944"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General</a:t>
                  </a:r>
                  <a:r>
                    <a:rPr lang="en-ID" sz="1100" kern="1200" baseline="0">
                      <a:solidFill>
                        <a:schemeClr val="bg1"/>
                      </a:solidFill>
                      <a:latin typeface="Avenir Next LT Pro" panose="020B0504020202020204" pitchFamily="34" charset="0"/>
                    </a:rPr>
                    <a:t> Ledger</a:t>
                  </a:r>
                  <a:endParaRPr lang="en-ID" sz="1100" kern="1200">
                    <a:solidFill>
                      <a:schemeClr val="bg1"/>
                    </a:solidFill>
                    <a:latin typeface="Avenir Next LT Pro" panose="020B0504020202020204" pitchFamily="34" charset="0"/>
                  </a:endParaRPr>
                </a:p>
              </xdr:txBody>
            </xdr:sp>
            <xdr:grpSp>
              <xdr:nvGrpSpPr>
                <xdr:cNvPr id="15" name="Group 14">
                  <a:extLst>
                    <a:ext uri="{FF2B5EF4-FFF2-40B4-BE49-F238E27FC236}">
                      <a16:creationId xmlns:a16="http://schemas.microsoft.com/office/drawing/2014/main" id="{664778FE-5F95-CF91-C6F1-35FAC954FBFF}"/>
                    </a:ext>
                  </a:extLst>
                </xdr:cNvPr>
                <xdr:cNvGrpSpPr/>
              </xdr:nvGrpSpPr>
              <xdr:grpSpPr>
                <a:xfrm>
                  <a:off x="5016777" y="28575"/>
                  <a:ext cx="802998" cy="263405"/>
                  <a:chOff x="5016777" y="47625"/>
                  <a:chExt cx="802998" cy="263405"/>
                </a:xfrm>
                <a:grpFill/>
              </xdr:grpSpPr>
              <xdr:sp macro="" textlink="">
                <xdr:nvSpPr>
                  <xdr:cNvPr id="18" name="TextBox 17">
                    <a:hlinkClick xmlns:r="http://schemas.openxmlformats.org/officeDocument/2006/relationships" r:id="rId5" tooltip="Urbane Stitch Store"/>
                    <a:extLst>
                      <a:ext uri="{FF2B5EF4-FFF2-40B4-BE49-F238E27FC236}">
                        <a16:creationId xmlns:a16="http://schemas.microsoft.com/office/drawing/2014/main" id="{5E2EA732-67A6-7C34-1561-8936879E13F7}"/>
                      </a:ext>
                    </a:extLst>
                  </xdr:cNvPr>
                  <xdr:cNvSpPr txBox="1"/>
                </xdr:nvSpPr>
                <xdr:spPr>
                  <a:xfrm>
                    <a:off x="5016777" y="47625"/>
                    <a:ext cx="659861"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Browse</a:t>
                    </a:r>
                  </a:p>
                </xdr:txBody>
              </xdr:sp>
              <xdr:grpSp>
                <xdr:nvGrpSpPr>
                  <xdr:cNvPr id="19" name="Graphic 10" descr="Compass outline">
                    <a:extLst>
                      <a:ext uri="{FF2B5EF4-FFF2-40B4-BE49-F238E27FC236}">
                        <a16:creationId xmlns:a16="http://schemas.microsoft.com/office/drawing/2014/main" id="{2B028915-670E-0D74-E672-5BD02625A3B2}"/>
                      </a:ext>
                    </a:extLst>
                  </xdr:cNvPr>
                  <xdr:cNvGrpSpPr/>
                </xdr:nvGrpSpPr>
                <xdr:grpSpPr>
                  <a:xfrm>
                    <a:off x="5629275" y="85725"/>
                    <a:ext cx="190500" cy="190500"/>
                    <a:chOff x="5638800" y="1485900"/>
                    <a:chExt cx="609600" cy="609600"/>
                  </a:xfrm>
                  <a:grpFill/>
                </xdr:grpSpPr>
                <xdr:sp macro="" textlink="">
                  <xdr:nvSpPr>
                    <xdr:cNvPr id="20" name="Freeform: Shape 19">
                      <a:extLst>
                        <a:ext uri="{FF2B5EF4-FFF2-40B4-BE49-F238E27FC236}">
                          <a16:creationId xmlns:a16="http://schemas.microsoft.com/office/drawing/2014/main" id="{788B2725-34B1-D980-73A2-AA7F3287E455}"/>
                        </a:ext>
                      </a:extLst>
                    </xdr:cNvPr>
                    <xdr:cNvSpPr/>
                  </xdr:nvSpPr>
                  <xdr:spPr>
                    <a:xfrm>
                      <a:off x="5638800" y="1485900"/>
                      <a:ext cx="609600" cy="609600"/>
                    </a:xfrm>
                    <a:custGeom>
                      <a:avLst/>
                      <a:gdLst>
                        <a:gd name="connsiteX0" fmla="*/ 304800 w 609600"/>
                        <a:gd name="connsiteY0" fmla="*/ 19050 h 609600"/>
                        <a:gd name="connsiteX1" fmla="*/ 590550 w 609600"/>
                        <a:gd name="connsiteY1" fmla="*/ 304800 h 609600"/>
                        <a:gd name="connsiteX2" fmla="*/ 304800 w 609600"/>
                        <a:gd name="connsiteY2" fmla="*/ 590550 h 609600"/>
                        <a:gd name="connsiteX3" fmla="*/ 19050 w 609600"/>
                        <a:gd name="connsiteY3" fmla="*/ 304800 h 609600"/>
                        <a:gd name="connsiteX4" fmla="*/ 304800 w 609600"/>
                        <a:gd name="connsiteY4" fmla="*/ 19050 h 609600"/>
                        <a:gd name="connsiteX5" fmla="*/ 304800 w 609600"/>
                        <a:gd name="connsiteY5" fmla="*/ 0 h 609600"/>
                        <a:gd name="connsiteX6" fmla="*/ 0 w 609600"/>
                        <a:gd name="connsiteY6" fmla="*/ 304800 h 609600"/>
                        <a:gd name="connsiteX7" fmla="*/ 304800 w 609600"/>
                        <a:gd name="connsiteY7" fmla="*/ 609600 h 609600"/>
                        <a:gd name="connsiteX8" fmla="*/ 609600 w 609600"/>
                        <a:gd name="connsiteY8" fmla="*/ 304800 h 609600"/>
                        <a:gd name="connsiteX9" fmla="*/ 304800 w 609600"/>
                        <a:gd name="connsiteY9" fmla="*/ 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609600" h="609600">
                          <a:moveTo>
                            <a:pt x="304800" y="19050"/>
                          </a:moveTo>
                          <a:cubicBezTo>
                            <a:pt x="462615" y="19050"/>
                            <a:pt x="590550" y="146985"/>
                            <a:pt x="590550" y="304800"/>
                          </a:cubicBezTo>
                          <a:cubicBezTo>
                            <a:pt x="590550" y="462615"/>
                            <a:pt x="462615" y="590550"/>
                            <a:pt x="304800" y="590550"/>
                          </a:cubicBezTo>
                          <a:cubicBezTo>
                            <a:pt x="146985" y="590550"/>
                            <a:pt x="19050" y="462615"/>
                            <a:pt x="19050" y="304800"/>
                          </a:cubicBezTo>
                          <a:cubicBezTo>
                            <a:pt x="19228" y="147058"/>
                            <a:pt x="147058" y="19228"/>
                            <a:pt x="304800" y="19050"/>
                          </a:cubicBezTo>
                          <a:moveTo>
                            <a:pt x="304800" y="0"/>
                          </a:moveTo>
                          <a:cubicBezTo>
                            <a:pt x="136464" y="0"/>
                            <a:pt x="0" y="136464"/>
                            <a:pt x="0" y="304800"/>
                          </a:cubicBezTo>
                          <a:cubicBezTo>
                            <a:pt x="0" y="473136"/>
                            <a:pt x="136464" y="609600"/>
                            <a:pt x="304800" y="609600"/>
                          </a:cubicBezTo>
                          <a:cubicBezTo>
                            <a:pt x="473136" y="609600"/>
                            <a:pt x="609600" y="473136"/>
                            <a:pt x="609600" y="304800"/>
                          </a:cubicBezTo>
                          <a:cubicBezTo>
                            <a:pt x="609411" y="136542"/>
                            <a:pt x="473058" y="189"/>
                            <a:pt x="304800" y="0"/>
                          </a:cubicBezTo>
                          <a:close/>
                        </a:path>
                      </a:pathLst>
                    </a:custGeom>
                    <a:grpFill/>
                    <a:ln w="9525" cap="flat">
                      <a:noFill/>
                      <a:prstDash val="solid"/>
                      <a:miter/>
                    </a:ln>
                  </xdr:spPr>
                  <xdr:txBody>
                    <a:bodyPr rtlCol="0" anchor="ctr"/>
                    <a:lstStyle/>
                    <a:p>
                      <a:endParaRPr lang="en-ID"/>
                    </a:p>
                  </xdr:txBody>
                </xdr:sp>
                <xdr:sp macro="" textlink="">
                  <xdr:nvSpPr>
                    <xdr:cNvPr id="21" name="Freeform: Shape 20">
                      <a:extLst>
                        <a:ext uri="{FF2B5EF4-FFF2-40B4-BE49-F238E27FC236}">
                          <a16:creationId xmlns:a16="http://schemas.microsoft.com/office/drawing/2014/main" id="{9A6DB72C-AA29-310C-1B2F-0721ABD96EAF}"/>
                        </a:ext>
                      </a:extLst>
                    </xdr:cNvPr>
                    <xdr:cNvSpPr/>
                  </xdr:nvSpPr>
                  <xdr:spPr>
                    <a:xfrm>
                      <a:off x="5795010" y="1644014"/>
                      <a:ext cx="295275" cy="295275"/>
                    </a:xfrm>
                    <a:custGeom>
                      <a:avLst/>
                      <a:gdLst>
                        <a:gd name="connsiteX0" fmla="*/ 194939 w 295275"/>
                        <a:gd name="connsiteY0" fmla="*/ 194948 h 295275"/>
                        <a:gd name="connsiteX1" fmla="*/ 35023 w 295275"/>
                        <a:gd name="connsiteY1" fmla="*/ 260366 h 295275"/>
                        <a:gd name="connsiteX2" fmla="*/ 100336 w 295275"/>
                        <a:gd name="connsiteY2" fmla="*/ 102175 h 295275"/>
                        <a:gd name="connsiteX3" fmla="*/ 260252 w 295275"/>
                        <a:gd name="connsiteY3" fmla="*/ 35290 h 295275"/>
                        <a:gd name="connsiteX4" fmla="*/ 85725 w 295275"/>
                        <a:gd name="connsiteY4" fmla="*/ 87630 h 295275"/>
                        <a:gd name="connsiteX5" fmla="*/ 0 w 295275"/>
                        <a:gd name="connsiteY5" fmla="*/ 295275 h 295275"/>
                        <a:gd name="connsiteX6" fmla="*/ 209550 w 295275"/>
                        <a:gd name="connsiteY6" fmla="*/ 209550 h 295275"/>
                        <a:gd name="connsiteX7" fmla="*/ 295275 w 295275"/>
                        <a:gd name="connsiteY7" fmla="*/ 0 h 295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95275" h="295275">
                          <a:moveTo>
                            <a:pt x="194939" y="194948"/>
                          </a:moveTo>
                          <a:lnTo>
                            <a:pt x="35023" y="260366"/>
                          </a:lnTo>
                          <a:lnTo>
                            <a:pt x="100336" y="102175"/>
                          </a:lnTo>
                          <a:lnTo>
                            <a:pt x="260252" y="35290"/>
                          </a:lnTo>
                          <a:close/>
                          <a:moveTo>
                            <a:pt x="85725" y="87630"/>
                          </a:moveTo>
                          <a:lnTo>
                            <a:pt x="0" y="295275"/>
                          </a:lnTo>
                          <a:lnTo>
                            <a:pt x="209550" y="209550"/>
                          </a:lnTo>
                          <a:lnTo>
                            <a:pt x="295275" y="0"/>
                          </a:lnTo>
                          <a:close/>
                        </a:path>
                      </a:pathLst>
                    </a:custGeom>
                    <a:grpFill/>
                    <a:ln w="9525" cap="flat">
                      <a:noFill/>
                      <a:prstDash val="solid"/>
                      <a:miter/>
                    </a:ln>
                  </xdr:spPr>
                  <xdr:txBody>
                    <a:bodyPr rtlCol="0" anchor="ctr"/>
                    <a:lstStyle/>
                    <a:p>
                      <a:endParaRPr lang="en-ID"/>
                    </a:p>
                  </xdr:txBody>
                </xdr:sp>
                <xdr:sp macro="" textlink="">
                  <xdr:nvSpPr>
                    <xdr:cNvPr id="22" name="Freeform: Shape 21">
                      <a:extLst>
                        <a:ext uri="{FF2B5EF4-FFF2-40B4-BE49-F238E27FC236}">
                          <a16:creationId xmlns:a16="http://schemas.microsoft.com/office/drawing/2014/main" id="{ABEE5094-833B-EF56-1B23-DC5FA11BE573}"/>
                        </a:ext>
                      </a:extLst>
                    </xdr:cNvPr>
                    <xdr:cNvSpPr/>
                  </xdr:nvSpPr>
                  <xdr:spPr>
                    <a:xfrm>
                      <a:off x="5924550" y="1771650"/>
                      <a:ext cx="38100" cy="38100"/>
                    </a:xfrm>
                    <a:custGeom>
                      <a:avLst/>
                      <a:gdLst>
                        <a:gd name="connsiteX0" fmla="*/ 38100 w 38100"/>
                        <a:gd name="connsiteY0" fmla="*/ 19050 h 38100"/>
                        <a:gd name="connsiteX1" fmla="*/ 19050 w 38100"/>
                        <a:gd name="connsiteY1" fmla="*/ 38100 h 38100"/>
                        <a:gd name="connsiteX2" fmla="*/ 0 w 38100"/>
                        <a:gd name="connsiteY2" fmla="*/ 19050 h 38100"/>
                        <a:gd name="connsiteX3" fmla="*/ 19050 w 38100"/>
                        <a:gd name="connsiteY3" fmla="*/ 0 h 38100"/>
                        <a:gd name="connsiteX4" fmla="*/ 38100 w 38100"/>
                        <a:gd name="connsiteY4" fmla="*/ 19050 h 381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8100" h="38100">
                          <a:moveTo>
                            <a:pt x="38100" y="19050"/>
                          </a:moveTo>
                          <a:cubicBezTo>
                            <a:pt x="38100" y="29571"/>
                            <a:pt x="29571" y="38100"/>
                            <a:pt x="19050" y="38100"/>
                          </a:cubicBezTo>
                          <a:cubicBezTo>
                            <a:pt x="8529" y="38100"/>
                            <a:pt x="0" y="29571"/>
                            <a:pt x="0" y="19050"/>
                          </a:cubicBezTo>
                          <a:cubicBezTo>
                            <a:pt x="0" y="8529"/>
                            <a:pt x="8529" y="0"/>
                            <a:pt x="19050" y="0"/>
                          </a:cubicBezTo>
                          <a:cubicBezTo>
                            <a:pt x="29571" y="0"/>
                            <a:pt x="38100" y="8529"/>
                            <a:pt x="38100" y="19050"/>
                          </a:cubicBezTo>
                          <a:close/>
                        </a:path>
                      </a:pathLst>
                    </a:custGeom>
                    <a:grpFill/>
                    <a:ln w="9525" cap="flat">
                      <a:noFill/>
                      <a:prstDash val="solid"/>
                      <a:miter/>
                    </a:ln>
                  </xdr:spPr>
                  <xdr:txBody>
                    <a:bodyPr rtlCol="0" anchor="ctr"/>
                    <a:lstStyle/>
                    <a:p>
                      <a:endParaRPr lang="en-ID"/>
                    </a:p>
                  </xdr:txBody>
                </xdr:sp>
              </xdr:grpSp>
            </xdr:grpSp>
            <xdr:sp macro="" textlink="">
              <xdr:nvSpPr>
                <xdr:cNvPr id="16" name="Rectangle: Rounded Corners 15">
                  <a:extLst>
                    <a:ext uri="{FF2B5EF4-FFF2-40B4-BE49-F238E27FC236}">
                      <a16:creationId xmlns:a16="http://schemas.microsoft.com/office/drawing/2014/main" id="{13E0F199-01D6-F6C1-69A1-E629EB94649B}"/>
                    </a:ext>
                  </a:extLst>
                </xdr:cNvPr>
                <xdr:cNvSpPr/>
              </xdr:nvSpPr>
              <xdr:spPr>
                <a:xfrm>
                  <a:off x="11382375" y="257175"/>
                  <a:ext cx="180000" cy="28800"/>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17" name="TextBox 16">
                  <a:hlinkClick xmlns:r="http://schemas.openxmlformats.org/officeDocument/2006/relationships" r:id="rId6" tooltip="Project Status"/>
                  <a:extLst>
                    <a:ext uri="{FF2B5EF4-FFF2-40B4-BE49-F238E27FC236}">
                      <a16:creationId xmlns:a16="http://schemas.microsoft.com/office/drawing/2014/main" id="{9C41AA49-949C-3899-05D5-CFF2B503C223}"/>
                    </a:ext>
                  </a:extLst>
                </xdr:cNvPr>
                <xdr:cNvSpPr txBox="1"/>
              </xdr:nvSpPr>
              <xdr:spPr>
                <a:xfrm>
                  <a:off x="11646177"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Measurement</a:t>
                  </a:r>
                </a:p>
              </xdr:txBody>
            </xdr:sp>
          </xdr:grpSp>
          <xdr:pic>
            <xdr:nvPicPr>
              <xdr:cNvPr id="9" name="Picture 8">
                <a:hlinkClick xmlns:r="http://schemas.openxmlformats.org/officeDocument/2006/relationships" r:id="rId7" tooltip="Dashboard"/>
                <a:extLst>
                  <a:ext uri="{FF2B5EF4-FFF2-40B4-BE49-F238E27FC236}">
                    <a16:creationId xmlns:a16="http://schemas.microsoft.com/office/drawing/2014/main" id="{26F549E1-F241-3C6A-D2C6-639C70A3AF26}"/>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8016" t="35915" r="8861" b="35651"/>
              <a:stretch/>
            </xdr:blipFill>
            <xdr:spPr>
              <a:xfrm>
                <a:off x="123825" y="19050"/>
                <a:ext cx="1876426" cy="361950"/>
              </a:xfrm>
              <a:prstGeom prst="rect">
                <a:avLst/>
              </a:prstGeom>
            </xdr:spPr>
          </xdr:pic>
        </xdr:grpSp>
        <xdr:sp macro="" textlink="">
          <xdr:nvSpPr>
            <xdr:cNvPr id="7" name="Rectangle: Rounded Corners 6">
              <a:extLst>
                <a:ext uri="{FF2B5EF4-FFF2-40B4-BE49-F238E27FC236}">
                  <a16:creationId xmlns:a16="http://schemas.microsoft.com/office/drawing/2014/main" id="{23CA0210-D041-2389-FC01-C4CD3701A98D}"/>
                </a:ext>
              </a:extLst>
            </xdr:cNvPr>
            <xdr:cNvSpPr/>
          </xdr:nvSpPr>
          <xdr:spPr>
            <a:xfrm>
              <a:off x="11744325" y="276225"/>
              <a:ext cx="180000" cy="288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grpSp>
      <xdr:pic>
        <xdr:nvPicPr>
          <xdr:cNvPr id="5" name="Graphic 4" descr="Compass outline">
            <a:extLst>
              <a:ext uri="{FF2B5EF4-FFF2-40B4-BE49-F238E27FC236}">
                <a16:creationId xmlns:a16="http://schemas.microsoft.com/office/drawing/2014/main" id="{64F6BE52-A1CA-5899-2A20-269DCD50C19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838701" y="38101"/>
            <a:ext cx="266700" cy="266700"/>
          </a:xfrm>
          <a:prstGeom prst="rect">
            <a:avLst/>
          </a:prstGeom>
        </xdr:spPr>
      </xdr:pic>
    </xdr:grpSp>
    <xdr:clientData/>
  </xdr:twoCellAnchor>
  <xdr:twoCellAnchor editAs="oneCell">
    <xdr:from>
      <xdr:col>1</xdr:col>
      <xdr:colOff>0</xdr:colOff>
      <xdr:row>12</xdr:row>
      <xdr:rowOff>0</xdr:rowOff>
    </xdr:from>
    <xdr:to>
      <xdr:col>4</xdr:col>
      <xdr:colOff>1096077</xdr:colOff>
      <xdr:row>14</xdr:row>
      <xdr:rowOff>171532</xdr:rowOff>
    </xdr:to>
    <xdr:pic>
      <xdr:nvPicPr>
        <xdr:cNvPr id="37" name="Picture 36">
          <a:extLst>
            <a:ext uri="{FF2B5EF4-FFF2-40B4-BE49-F238E27FC236}">
              <a16:creationId xmlns:a16="http://schemas.microsoft.com/office/drawing/2014/main" id="{6D0D20B4-86A8-678E-12D0-CEBB3C3261ED}"/>
            </a:ext>
          </a:extLst>
        </xdr:cNvPr>
        <xdr:cNvPicPr>
          <a:picLocks noChangeAspect="1"/>
        </xdr:cNvPicPr>
      </xdr:nvPicPr>
      <xdr:blipFill>
        <a:blip xmlns:r="http://schemas.openxmlformats.org/officeDocument/2006/relationships" r:embed="rId11"/>
        <a:stretch>
          <a:fillRect/>
        </a:stretch>
      </xdr:blipFill>
      <xdr:spPr>
        <a:xfrm>
          <a:off x="609600" y="2400300"/>
          <a:ext cx="5029902" cy="590632"/>
        </a:xfrm>
        <a:prstGeom prst="rect">
          <a:avLst/>
        </a:prstGeom>
      </xdr:spPr>
    </xdr:pic>
    <xdr:clientData/>
  </xdr:twoCellAnchor>
  <xdr:twoCellAnchor editAs="oneCell">
    <xdr:from>
      <xdr:col>1</xdr:col>
      <xdr:colOff>0</xdr:colOff>
      <xdr:row>28</xdr:row>
      <xdr:rowOff>0</xdr:rowOff>
    </xdr:from>
    <xdr:to>
      <xdr:col>4</xdr:col>
      <xdr:colOff>664616</xdr:colOff>
      <xdr:row>36</xdr:row>
      <xdr:rowOff>19050</xdr:rowOff>
    </xdr:to>
    <xdr:pic>
      <xdr:nvPicPr>
        <xdr:cNvPr id="38" name="Picture 37">
          <a:extLst>
            <a:ext uri="{FF2B5EF4-FFF2-40B4-BE49-F238E27FC236}">
              <a16:creationId xmlns:a16="http://schemas.microsoft.com/office/drawing/2014/main" id="{09D562D1-FB58-F994-F2C0-0FE99FE98904}"/>
            </a:ext>
          </a:extLst>
        </xdr:cNvPr>
        <xdr:cNvPicPr>
          <a:picLocks noChangeAspect="1"/>
        </xdr:cNvPicPr>
      </xdr:nvPicPr>
      <xdr:blipFill>
        <a:blip xmlns:r="http://schemas.openxmlformats.org/officeDocument/2006/relationships" r:embed="rId12"/>
        <a:stretch>
          <a:fillRect/>
        </a:stretch>
      </xdr:blipFill>
      <xdr:spPr>
        <a:xfrm>
          <a:off x="609600" y="5524500"/>
          <a:ext cx="4598441" cy="1543050"/>
        </a:xfrm>
        <a:prstGeom prst="rect">
          <a:avLst/>
        </a:prstGeom>
      </xdr:spPr>
    </xdr:pic>
    <xdr:clientData/>
  </xdr:twoCellAnchor>
  <xdr:twoCellAnchor editAs="absolute">
    <xdr:from>
      <xdr:col>1</xdr:col>
      <xdr:colOff>19050</xdr:colOff>
      <xdr:row>3</xdr:row>
      <xdr:rowOff>19050</xdr:rowOff>
    </xdr:from>
    <xdr:to>
      <xdr:col>6</xdr:col>
      <xdr:colOff>1028700</xdr:colOff>
      <xdr:row>4</xdr:row>
      <xdr:rowOff>142875</xdr:rowOff>
    </xdr:to>
    <xdr:grpSp>
      <xdr:nvGrpSpPr>
        <xdr:cNvPr id="23" name="Group 22">
          <a:extLst>
            <a:ext uri="{FF2B5EF4-FFF2-40B4-BE49-F238E27FC236}">
              <a16:creationId xmlns:a16="http://schemas.microsoft.com/office/drawing/2014/main" id="{9F7397AA-B4CD-42AA-905A-0BACD008B7F8}"/>
            </a:ext>
          </a:extLst>
        </xdr:cNvPr>
        <xdr:cNvGrpSpPr/>
      </xdr:nvGrpSpPr>
      <xdr:grpSpPr>
        <a:xfrm>
          <a:off x="628650" y="590550"/>
          <a:ext cx="7162800" cy="314325"/>
          <a:chOff x="771525" y="581025"/>
          <a:chExt cx="7162800" cy="314325"/>
        </a:xfrm>
      </xdr:grpSpPr>
      <xdr:grpSp>
        <xdr:nvGrpSpPr>
          <xdr:cNvPr id="24" name="Group 23">
            <a:hlinkClick xmlns:r="http://schemas.openxmlformats.org/officeDocument/2006/relationships" r:id="rId6"/>
            <a:extLst>
              <a:ext uri="{FF2B5EF4-FFF2-40B4-BE49-F238E27FC236}">
                <a16:creationId xmlns:a16="http://schemas.microsoft.com/office/drawing/2014/main" id="{49C9F6CB-6356-06BA-0B86-8A00A3BAA8E8}"/>
              </a:ext>
            </a:extLst>
          </xdr:cNvPr>
          <xdr:cNvGrpSpPr/>
        </xdr:nvGrpSpPr>
        <xdr:grpSpPr>
          <a:xfrm>
            <a:off x="771525" y="581025"/>
            <a:ext cx="1247775" cy="314325"/>
            <a:chOff x="190500" y="552450"/>
            <a:chExt cx="1247775" cy="314325"/>
          </a:xfrm>
        </xdr:grpSpPr>
        <xdr:sp macro="" textlink="">
          <xdr:nvSpPr>
            <xdr:cNvPr id="53" name="Rectangle: Rounded Corners 52">
              <a:extLst>
                <a:ext uri="{FF2B5EF4-FFF2-40B4-BE49-F238E27FC236}">
                  <a16:creationId xmlns:a16="http://schemas.microsoft.com/office/drawing/2014/main" id="{4EE5C2F1-9ABD-66FB-F11A-90E8A565BEC0}"/>
                </a:ext>
              </a:extLst>
            </xdr:cNvPr>
            <xdr:cNvSpPr/>
          </xdr:nvSpPr>
          <xdr:spPr>
            <a:xfrm>
              <a:off x="190500"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54" name="TextBox 53">
              <a:extLst>
                <a:ext uri="{FF2B5EF4-FFF2-40B4-BE49-F238E27FC236}">
                  <a16:creationId xmlns:a16="http://schemas.microsoft.com/office/drawing/2014/main" id="{AAF18EB2-7EDF-6904-6965-D5CD2841E795}"/>
                </a:ext>
              </a:extLst>
            </xdr:cNvPr>
            <xdr:cNvSpPr txBox="1"/>
          </xdr:nvSpPr>
          <xdr:spPr>
            <a:xfrm>
              <a:off x="338137"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solidFill>
                    <a:schemeClr val="bg1"/>
                  </a:solidFill>
                  <a:latin typeface="Avenir Next LT Pro" panose="020B0504020202020204" pitchFamily="34" charset="0"/>
                </a:rPr>
                <a:t>Persediaan</a:t>
              </a:r>
            </a:p>
          </xdr:txBody>
        </xdr:sp>
      </xdr:grpSp>
      <xdr:grpSp>
        <xdr:nvGrpSpPr>
          <xdr:cNvPr id="25" name="Group 24">
            <a:hlinkClick xmlns:r="http://schemas.openxmlformats.org/officeDocument/2006/relationships" r:id="rId13"/>
            <a:extLst>
              <a:ext uri="{FF2B5EF4-FFF2-40B4-BE49-F238E27FC236}">
                <a16:creationId xmlns:a16="http://schemas.microsoft.com/office/drawing/2014/main" id="{4EA28463-2278-F24E-52D0-2B8C6C6FAFD6}"/>
              </a:ext>
            </a:extLst>
          </xdr:cNvPr>
          <xdr:cNvGrpSpPr/>
        </xdr:nvGrpSpPr>
        <xdr:grpSpPr>
          <a:xfrm>
            <a:off x="2247900" y="581025"/>
            <a:ext cx="1247775" cy="314325"/>
            <a:chOff x="1666875" y="552450"/>
            <a:chExt cx="1247775" cy="314325"/>
          </a:xfrm>
        </xdr:grpSpPr>
        <xdr:sp macro="" textlink="">
          <xdr:nvSpPr>
            <xdr:cNvPr id="36" name="Rectangle: Rounded Corners 35">
              <a:extLst>
                <a:ext uri="{FF2B5EF4-FFF2-40B4-BE49-F238E27FC236}">
                  <a16:creationId xmlns:a16="http://schemas.microsoft.com/office/drawing/2014/main" id="{4E211FBA-60FB-62AB-5341-A0D92CA6772E}"/>
                </a:ext>
              </a:extLst>
            </xdr:cNvPr>
            <xdr:cNvSpPr/>
          </xdr:nvSpPr>
          <xdr:spPr>
            <a:xfrm>
              <a:off x="16668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52" name="TextBox 51">
              <a:extLst>
                <a:ext uri="{FF2B5EF4-FFF2-40B4-BE49-F238E27FC236}">
                  <a16:creationId xmlns:a16="http://schemas.microsoft.com/office/drawing/2014/main" id="{62D88C72-2DF3-3C2D-487B-8C6D44409A53}"/>
                </a:ext>
              </a:extLst>
            </xdr:cNvPr>
            <xdr:cNvSpPr txBox="1"/>
          </xdr:nvSpPr>
          <xdr:spPr>
            <a:xfrm>
              <a:off x="1814512"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100" b="1">
                  <a:solidFill>
                    <a:schemeClr val="bg1"/>
                  </a:solidFill>
                  <a:latin typeface="Avenir Next LT Pro" panose="020B0504020202020204" pitchFamily="34" charset="0"/>
                </a:rPr>
                <a:t>BTK</a:t>
              </a:r>
            </a:p>
          </xdr:txBody>
        </xdr:sp>
      </xdr:grpSp>
      <xdr:grpSp>
        <xdr:nvGrpSpPr>
          <xdr:cNvPr id="26" name="Group 25">
            <a:extLst>
              <a:ext uri="{FF2B5EF4-FFF2-40B4-BE49-F238E27FC236}">
                <a16:creationId xmlns:a16="http://schemas.microsoft.com/office/drawing/2014/main" id="{BAFC7228-DBCC-A205-2D96-F635FB69A425}"/>
              </a:ext>
            </a:extLst>
          </xdr:cNvPr>
          <xdr:cNvGrpSpPr/>
        </xdr:nvGrpSpPr>
        <xdr:grpSpPr>
          <a:xfrm>
            <a:off x="3743325" y="581025"/>
            <a:ext cx="2724150" cy="314325"/>
            <a:chOff x="3162300" y="552450"/>
            <a:chExt cx="2724150" cy="314325"/>
          </a:xfrm>
        </xdr:grpSpPr>
        <xdr:grpSp>
          <xdr:nvGrpSpPr>
            <xdr:cNvPr id="30" name="Group 29">
              <a:hlinkClick xmlns:r="http://schemas.openxmlformats.org/officeDocument/2006/relationships" r:id="rId14"/>
              <a:extLst>
                <a:ext uri="{FF2B5EF4-FFF2-40B4-BE49-F238E27FC236}">
                  <a16:creationId xmlns:a16="http://schemas.microsoft.com/office/drawing/2014/main" id="{EEEA3FD2-A023-AD94-C413-BDCB14C8BD14}"/>
                </a:ext>
              </a:extLst>
            </xdr:cNvPr>
            <xdr:cNvGrpSpPr/>
          </xdr:nvGrpSpPr>
          <xdr:grpSpPr>
            <a:xfrm>
              <a:off x="3162300" y="552450"/>
              <a:ext cx="1247775" cy="314325"/>
              <a:chOff x="3162300" y="552450"/>
              <a:chExt cx="1247775" cy="314325"/>
            </a:xfrm>
          </xdr:grpSpPr>
          <xdr:sp macro="" textlink="">
            <xdr:nvSpPr>
              <xdr:cNvPr id="34" name="Rectangle: Rounded Corners 33">
                <a:extLst>
                  <a:ext uri="{FF2B5EF4-FFF2-40B4-BE49-F238E27FC236}">
                    <a16:creationId xmlns:a16="http://schemas.microsoft.com/office/drawing/2014/main" id="{4E77FB47-E83E-5BBE-2ECF-0FF97E5F1029}"/>
                  </a:ext>
                </a:extLst>
              </xdr:cNvPr>
              <xdr:cNvSpPr/>
            </xdr:nvSpPr>
            <xdr:spPr>
              <a:xfrm>
                <a:off x="3162300"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35" name="TextBox 34">
                <a:extLst>
                  <a:ext uri="{FF2B5EF4-FFF2-40B4-BE49-F238E27FC236}">
                    <a16:creationId xmlns:a16="http://schemas.microsoft.com/office/drawing/2014/main" id="{AA81161A-C240-8F3C-884E-B8A74DE35476}"/>
                  </a:ext>
                </a:extLst>
              </xdr:cNvPr>
              <xdr:cNvSpPr txBox="1"/>
            </xdr:nvSpPr>
            <xdr:spPr>
              <a:xfrm>
                <a:off x="3309937" y="576262"/>
                <a:ext cx="985838"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solidFill>
                      <a:schemeClr val="bg1"/>
                    </a:solidFill>
                    <a:latin typeface="Avenir Next LT Pro" panose="020B0504020202020204" pitchFamily="34" charset="0"/>
                  </a:rPr>
                  <a:t>Penyusutan</a:t>
                </a:r>
              </a:p>
            </xdr:txBody>
          </xdr:sp>
        </xdr:grpSp>
        <xdr:grpSp>
          <xdr:nvGrpSpPr>
            <xdr:cNvPr id="31" name="Group 30">
              <a:extLst>
                <a:ext uri="{FF2B5EF4-FFF2-40B4-BE49-F238E27FC236}">
                  <a16:creationId xmlns:a16="http://schemas.microsoft.com/office/drawing/2014/main" id="{29EE315C-51F0-8F0A-91E8-544D9D5BE104}"/>
                </a:ext>
              </a:extLst>
            </xdr:cNvPr>
            <xdr:cNvGrpSpPr/>
          </xdr:nvGrpSpPr>
          <xdr:grpSpPr>
            <a:xfrm>
              <a:off x="4638675" y="552450"/>
              <a:ext cx="1247775" cy="314325"/>
              <a:chOff x="4638675" y="552450"/>
              <a:chExt cx="1247775" cy="314325"/>
            </a:xfrm>
          </xdr:grpSpPr>
          <xdr:sp macro="" textlink="">
            <xdr:nvSpPr>
              <xdr:cNvPr id="32" name="Rectangle: Rounded Corners 31">
                <a:extLst>
                  <a:ext uri="{FF2B5EF4-FFF2-40B4-BE49-F238E27FC236}">
                    <a16:creationId xmlns:a16="http://schemas.microsoft.com/office/drawing/2014/main" id="{234CCEB3-F068-80BD-AF28-6C7092F47D2B}"/>
                  </a:ext>
                </a:extLst>
              </xdr:cNvPr>
              <xdr:cNvSpPr/>
            </xdr:nvSpPr>
            <xdr:spPr>
              <a:xfrm>
                <a:off x="46386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33" name="TextBox 32">
                <a:hlinkClick xmlns:r="http://schemas.openxmlformats.org/officeDocument/2006/relationships" r:id="rId15"/>
                <a:extLst>
                  <a:ext uri="{FF2B5EF4-FFF2-40B4-BE49-F238E27FC236}">
                    <a16:creationId xmlns:a16="http://schemas.microsoft.com/office/drawing/2014/main" id="{DB56A721-EA35-2B4C-7AC3-E4615B817FF1}"/>
                  </a:ext>
                </a:extLst>
              </xdr:cNvPr>
              <xdr:cNvSpPr txBox="1"/>
            </xdr:nvSpPr>
            <xdr:spPr>
              <a:xfrm>
                <a:off x="4786312" y="576262"/>
                <a:ext cx="1081088"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900" b="1">
                    <a:solidFill>
                      <a:schemeClr val="bg1"/>
                    </a:solidFill>
                    <a:latin typeface="Avenir Next LT Pro" panose="020B0504020202020204" pitchFamily="34" charset="0"/>
                  </a:rPr>
                  <a:t>Aging</a:t>
                </a:r>
                <a:r>
                  <a:rPr lang="en-ID" sz="900" b="1" baseline="0">
                    <a:solidFill>
                      <a:schemeClr val="bg1"/>
                    </a:solidFill>
                    <a:latin typeface="Avenir Next LT Pro" panose="020B0504020202020204" pitchFamily="34" charset="0"/>
                  </a:rPr>
                  <a:t> Schedule</a:t>
                </a:r>
                <a:endParaRPr lang="en-ID" sz="900" b="1">
                  <a:solidFill>
                    <a:schemeClr val="bg1"/>
                  </a:solidFill>
                  <a:latin typeface="Avenir Next LT Pro" panose="020B0504020202020204" pitchFamily="34" charset="0"/>
                </a:endParaRPr>
              </a:p>
            </xdr:txBody>
          </xdr:sp>
        </xdr:grpSp>
      </xdr:grpSp>
      <xdr:grpSp>
        <xdr:nvGrpSpPr>
          <xdr:cNvPr id="27" name="Group 26">
            <a:hlinkClick xmlns:r="http://schemas.openxmlformats.org/officeDocument/2006/relationships" r:id="rId13"/>
            <a:extLst>
              <a:ext uri="{FF2B5EF4-FFF2-40B4-BE49-F238E27FC236}">
                <a16:creationId xmlns:a16="http://schemas.microsoft.com/office/drawing/2014/main" id="{26832D44-5934-85B7-AE96-5747C192B463}"/>
              </a:ext>
            </a:extLst>
          </xdr:cNvPr>
          <xdr:cNvGrpSpPr/>
        </xdr:nvGrpSpPr>
        <xdr:grpSpPr>
          <a:xfrm>
            <a:off x="6686550" y="581025"/>
            <a:ext cx="1247775" cy="314325"/>
            <a:chOff x="1666875" y="552450"/>
            <a:chExt cx="1247775" cy="314325"/>
          </a:xfrm>
        </xdr:grpSpPr>
        <xdr:sp macro="" textlink="">
          <xdr:nvSpPr>
            <xdr:cNvPr id="28" name="Rectangle: Rounded Corners 27">
              <a:extLst>
                <a:ext uri="{FF2B5EF4-FFF2-40B4-BE49-F238E27FC236}">
                  <a16:creationId xmlns:a16="http://schemas.microsoft.com/office/drawing/2014/main" id="{3E62B7D8-4B62-395D-6934-5C0B6FD2EF22}"/>
                </a:ext>
              </a:extLst>
            </xdr:cNvPr>
            <xdr:cNvSpPr/>
          </xdr:nvSpPr>
          <xdr:spPr>
            <a:xfrm>
              <a:off x="16668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29" name="TextBox 28">
              <a:hlinkClick xmlns:r="http://schemas.openxmlformats.org/officeDocument/2006/relationships" r:id="rId16" tooltip="Obligasi"/>
              <a:extLst>
                <a:ext uri="{FF2B5EF4-FFF2-40B4-BE49-F238E27FC236}">
                  <a16:creationId xmlns:a16="http://schemas.microsoft.com/office/drawing/2014/main" id="{089E767C-7445-B19C-FF34-ACAB25AA4DE1}"/>
                </a:ext>
              </a:extLst>
            </xdr:cNvPr>
            <xdr:cNvSpPr txBox="1"/>
          </xdr:nvSpPr>
          <xdr:spPr>
            <a:xfrm>
              <a:off x="1814512"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100" b="1">
                  <a:solidFill>
                    <a:schemeClr val="bg1"/>
                  </a:solidFill>
                  <a:latin typeface="Avenir Next LT Pro" panose="020B0504020202020204" pitchFamily="34" charset="0"/>
                </a:rPr>
                <a:t>Liabilities</a:t>
              </a:r>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161926</xdr:colOff>
      <xdr:row>2</xdr:row>
      <xdr:rowOff>0</xdr:rowOff>
    </xdr:to>
    <xdr:grpSp>
      <xdr:nvGrpSpPr>
        <xdr:cNvPr id="2" name="Group 1">
          <a:extLst>
            <a:ext uri="{FF2B5EF4-FFF2-40B4-BE49-F238E27FC236}">
              <a16:creationId xmlns:a16="http://schemas.microsoft.com/office/drawing/2014/main" id="{13FA80C2-A884-40F9-993B-A3606E93B166}"/>
            </a:ext>
          </a:extLst>
        </xdr:cNvPr>
        <xdr:cNvGrpSpPr/>
      </xdr:nvGrpSpPr>
      <xdr:grpSpPr>
        <a:xfrm>
          <a:off x="0" y="0"/>
          <a:ext cx="13554076" cy="381000"/>
          <a:chOff x="0" y="0"/>
          <a:chExt cx="13554076" cy="381000"/>
        </a:xfrm>
      </xdr:grpSpPr>
      <xdr:grpSp>
        <xdr:nvGrpSpPr>
          <xdr:cNvPr id="3" name="Group 2">
            <a:extLst>
              <a:ext uri="{FF2B5EF4-FFF2-40B4-BE49-F238E27FC236}">
                <a16:creationId xmlns:a16="http://schemas.microsoft.com/office/drawing/2014/main" id="{7804FF7E-6933-911D-21C6-576596CA935B}"/>
              </a:ext>
            </a:extLst>
          </xdr:cNvPr>
          <xdr:cNvGrpSpPr/>
        </xdr:nvGrpSpPr>
        <xdr:grpSpPr>
          <a:xfrm>
            <a:off x="0" y="0"/>
            <a:ext cx="13554076" cy="381000"/>
            <a:chOff x="0" y="0"/>
            <a:chExt cx="13554076" cy="381000"/>
          </a:xfrm>
        </xdr:grpSpPr>
        <xdr:grpSp>
          <xdr:nvGrpSpPr>
            <xdr:cNvPr id="5" name="Group 4">
              <a:extLst>
                <a:ext uri="{FF2B5EF4-FFF2-40B4-BE49-F238E27FC236}">
                  <a16:creationId xmlns:a16="http://schemas.microsoft.com/office/drawing/2014/main" id="{7B2558F8-F192-3EA7-C99B-4A4A0B1B773F}"/>
                </a:ext>
              </a:extLst>
            </xdr:cNvPr>
            <xdr:cNvGrpSpPr/>
          </xdr:nvGrpSpPr>
          <xdr:grpSpPr>
            <a:xfrm>
              <a:off x="0" y="0"/>
              <a:ext cx="13554076" cy="381000"/>
              <a:chOff x="0" y="0"/>
              <a:chExt cx="13554076" cy="381000"/>
            </a:xfrm>
          </xdr:grpSpPr>
          <xdr:grpSp>
            <xdr:nvGrpSpPr>
              <xdr:cNvPr id="7" name="Group 6">
                <a:extLst>
                  <a:ext uri="{FF2B5EF4-FFF2-40B4-BE49-F238E27FC236}">
                    <a16:creationId xmlns:a16="http://schemas.microsoft.com/office/drawing/2014/main" id="{CBA4E60D-5CEB-6258-6BB5-85594973E06E}"/>
                  </a:ext>
                </a:extLst>
              </xdr:cNvPr>
              <xdr:cNvGrpSpPr/>
            </xdr:nvGrpSpPr>
            <xdr:grpSpPr>
              <a:xfrm>
                <a:off x="0" y="0"/>
                <a:ext cx="13554076" cy="360000"/>
                <a:chOff x="0" y="0"/>
                <a:chExt cx="13554076" cy="352424"/>
              </a:xfr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2700000" scaled="1"/>
                <a:tileRect/>
              </a:gradFill>
              <a:effectLst>
                <a:outerShdw blurRad="50800" dist="38100" dir="5400000" algn="t" rotWithShape="0">
                  <a:prstClr val="black">
                    <a:alpha val="40000"/>
                  </a:prstClr>
                </a:outerShdw>
              </a:effectLst>
            </xdr:grpSpPr>
            <xdr:sp macro="" textlink="">
              <xdr:nvSpPr>
                <xdr:cNvPr id="9" name="Rectangle 8">
                  <a:extLst>
                    <a:ext uri="{FF2B5EF4-FFF2-40B4-BE49-F238E27FC236}">
                      <a16:creationId xmlns:a16="http://schemas.microsoft.com/office/drawing/2014/main" id="{2DD2F09D-FF6C-41E2-D554-7D6C504A6150}"/>
                    </a:ext>
                  </a:extLst>
                </xdr:cNvPr>
                <xdr:cNvSpPr/>
              </xdr:nvSpPr>
              <xdr:spPr>
                <a:xfrm>
                  <a:off x="0" y="0"/>
                  <a:ext cx="13554076" cy="352424"/>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10" name="TextBox 9">
                  <a:hlinkClick xmlns:r="http://schemas.openxmlformats.org/officeDocument/2006/relationships" r:id="rId1" tooltip="Reports"/>
                  <a:extLst>
                    <a:ext uri="{FF2B5EF4-FFF2-40B4-BE49-F238E27FC236}">
                      <a16:creationId xmlns:a16="http://schemas.microsoft.com/office/drawing/2014/main" id="{B8561671-2AC3-70BF-075B-544A8C7B8B5C}"/>
                    </a:ext>
                  </a:extLst>
                </xdr:cNvPr>
                <xdr:cNvSpPr txBox="1"/>
              </xdr:nvSpPr>
              <xdr:spPr>
                <a:xfrm>
                  <a:off x="10187147" y="37499"/>
                  <a:ext cx="986167"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Reports</a:t>
                  </a:r>
                </a:p>
              </xdr:txBody>
            </xdr:sp>
            <xdr:sp macro="" textlink="">
              <xdr:nvSpPr>
                <xdr:cNvPr id="11" name="TextBox 10">
                  <a:hlinkClick xmlns:r="http://schemas.openxmlformats.org/officeDocument/2006/relationships" r:id="rId2" tooltip="Project Status"/>
                  <a:extLst>
                    <a:ext uri="{FF2B5EF4-FFF2-40B4-BE49-F238E27FC236}">
                      <a16:creationId xmlns:a16="http://schemas.microsoft.com/office/drawing/2014/main" id="{30C84F22-89ED-CB04-E0F1-C0DAC97F6C81}"/>
                    </a:ext>
                  </a:extLst>
                </xdr:cNvPr>
                <xdr:cNvSpPr txBox="1"/>
              </xdr:nvSpPr>
              <xdr:spPr>
                <a:xfrm>
                  <a:off x="10855602"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Dashboard</a:t>
                  </a:r>
                </a:p>
              </xdr:txBody>
            </xdr:sp>
            <xdr:sp macro="" textlink="">
              <xdr:nvSpPr>
                <xdr:cNvPr id="12" name="TextBox 11">
                  <a:hlinkClick xmlns:r="http://schemas.openxmlformats.org/officeDocument/2006/relationships" r:id="rId3" tooltip="Income Sources"/>
                  <a:extLst>
                    <a:ext uri="{FF2B5EF4-FFF2-40B4-BE49-F238E27FC236}">
                      <a16:creationId xmlns:a16="http://schemas.microsoft.com/office/drawing/2014/main" id="{541AF3ED-C38A-D3C9-9F26-01F6702A9668}"/>
                    </a:ext>
                  </a:extLst>
                </xdr:cNvPr>
                <xdr:cNvSpPr txBox="1"/>
              </xdr:nvSpPr>
              <xdr:spPr>
                <a:xfrm>
                  <a:off x="7702827" y="28575"/>
                  <a:ext cx="1212640"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Genenral</a:t>
                  </a:r>
                  <a:r>
                    <a:rPr lang="en-ID" sz="1100" kern="1200" baseline="0">
                      <a:solidFill>
                        <a:schemeClr val="bg1"/>
                      </a:solidFill>
                      <a:latin typeface="Avenir Next LT Pro" panose="020B0504020202020204" pitchFamily="34" charset="0"/>
                    </a:rPr>
                    <a:t> Journal</a:t>
                  </a:r>
                  <a:endParaRPr lang="en-ID" sz="1100" kern="1200">
                    <a:solidFill>
                      <a:schemeClr val="bg1"/>
                    </a:solidFill>
                    <a:latin typeface="Avenir Next LT Pro" panose="020B0504020202020204" pitchFamily="34" charset="0"/>
                  </a:endParaRPr>
                </a:p>
              </xdr:txBody>
            </xdr:sp>
            <xdr:sp macro="" textlink="">
              <xdr:nvSpPr>
                <xdr:cNvPr id="13" name="TextBox 12">
                  <a:hlinkClick xmlns:r="http://schemas.openxmlformats.org/officeDocument/2006/relationships" r:id="rId4" tooltip="RAPBO"/>
                  <a:extLst>
                    <a:ext uri="{FF2B5EF4-FFF2-40B4-BE49-F238E27FC236}">
                      <a16:creationId xmlns:a16="http://schemas.microsoft.com/office/drawing/2014/main" id="{BB966CE4-D776-F286-B711-01C1C654D9EA}"/>
                    </a:ext>
                  </a:extLst>
                </xdr:cNvPr>
                <xdr:cNvSpPr txBox="1"/>
              </xdr:nvSpPr>
              <xdr:spPr>
                <a:xfrm>
                  <a:off x="9045431" y="28575"/>
                  <a:ext cx="1193944"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General</a:t>
                  </a:r>
                  <a:r>
                    <a:rPr lang="en-ID" sz="1100" kern="1200" baseline="0">
                      <a:solidFill>
                        <a:schemeClr val="bg1"/>
                      </a:solidFill>
                      <a:latin typeface="Avenir Next LT Pro" panose="020B0504020202020204" pitchFamily="34" charset="0"/>
                    </a:rPr>
                    <a:t> Ledger</a:t>
                  </a:r>
                  <a:endParaRPr lang="en-ID" sz="1100" kern="1200">
                    <a:solidFill>
                      <a:schemeClr val="bg1"/>
                    </a:solidFill>
                    <a:latin typeface="Avenir Next LT Pro" panose="020B0504020202020204" pitchFamily="34" charset="0"/>
                  </a:endParaRPr>
                </a:p>
              </xdr:txBody>
            </xdr:sp>
            <xdr:grpSp>
              <xdr:nvGrpSpPr>
                <xdr:cNvPr id="14" name="Group 13">
                  <a:extLst>
                    <a:ext uri="{FF2B5EF4-FFF2-40B4-BE49-F238E27FC236}">
                      <a16:creationId xmlns:a16="http://schemas.microsoft.com/office/drawing/2014/main" id="{21C16035-6DEF-65B4-D752-D5D1F2BDAF6C}"/>
                    </a:ext>
                  </a:extLst>
                </xdr:cNvPr>
                <xdr:cNvGrpSpPr/>
              </xdr:nvGrpSpPr>
              <xdr:grpSpPr>
                <a:xfrm>
                  <a:off x="5016777" y="28575"/>
                  <a:ext cx="802998" cy="263405"/>
                  <a:chOff x="5016777" y="47625"/>
                  <a:chExt cx="802998" cy="263405"/>
                </a:xfrm>
                <a:grpFill/>
              </xdr:grpSpPr>
              <xdr:sp macro="" textlink="">
                <xdr:nvSpPr>
                  <xdr:cNvPr id="17" name="TextBox 16">
                    <a:hlinkClick xmlns:r="http://schemas.openxmlformats.org/officeDocument/2006/relationships" r:id="rId5" tooltip="Urbane Stitch Store"/>
                    <a:extLst>
                      <a:ext uri="{FF2B5EF4-FFF2-40B4-BE49-F238E27FC236}">
                        <a16:creationId xmlns:a16="http://schemas.microsoft.com/office/drawing/2014/main" id="{7A3BA300-051D-C9B9-F4D9-12AA7D96944B}"/>
                      </a:ext>
                    </a:extLst>
                  </xdr:cNvPr>
                  <xdr:cNvSpPr txBox="1"/>
                </xdr:nvSpPr>
                <xdr:spPr>
                  <a:xfrm>
                    <a:off x="5016777" y="47625"/>
                    <a:ext cx="659861"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Browse</a:t>
                    </a:r>
                  </a:p>
                </xdr:txBody>
              </xdr:sp>
              <xdr:grpSp>
                <xdr:nvGrpSpPr>
                  <xdr:cNvPr id="18" name="Graphic 10" descr="Compass outline">
                    <a:extLst>
                      <a:ext uri="{FF2B5EF4-FFF2-40B4-BE49-F238E27FC236}">
                        <a16:creationId xmlns:a16="http://schemas.microsoft.com/office/drawing/2014/main" id="{2982FCEF-8452-E247-B622-A70701758781}"/>
                      </a:ext>
                    </a:extLst>
                  </xdr:cNvPr>
                  <xdr:cNvGrpSpPr/>
                </xdr:nvGrpSpPr>
                <xdr:grpSpPr>
                  <a:xfrm>
                    <a:off x="5629275" y="85725"/>
                    <a:ext cx="190500" cy="190500"/>
                    <a:chOff x="5638800" y="1485900"/>
                    <a:chExt cx="609600" cy="609600"/>
                  </a:xfrm>
                  <a:grpFill/>
                </xdr:grpSpPr>
                <xdr:sp macro="" textlink="">
                  <xdr:nvSpPr>
                    <xdr:cNvPr id="19" name="Freeform: Shape 18">
                      <a:extLst>
                        <a:ext uri="{FF2B5EF4-FFF2-40B4-BE49-F238E27FC236}">
                          <a16:creationId xmlns:a16="http://schemas.microsoft.com/office/drawing/2014/main" id="{6F975212-FC8C-AE3B-3098-E5754667E6AA}"/>
                        </a:ext>
                      </a:extLst>
                    </xdr:cNvPr>
                    <xdr:cNvSpPr/>
                  </xdr:nvSpPr>
                  <xdr:spPr>
                    <a:xfrm>
                      <a:off x="5638800" y="1485900"/>
                      <a:ext cx="609600" cy="609600"/>
                    </a:xfrm>
                    <a:custGeom>
                      <a:avLst/>
                      <a:gdLst>
                        <a:gd name="connsiteX0" fmla="*/ 304800 w 609600"/>
                        <a:gd name="connsiteY0" fmla="*/ 19050 h 609600"/>
                        <a:gd name="connsiteX1" fmla="*/ 590550 w 609600"/>
                        <a:gd name="connsiteY1" fmla="*/ 304800 h 609600"/>
                        <a:gd name="connsiteX2" fmla="*/ 304800 w 609600"/>
                        <a:gd name="connsiteY2" fmla="*/ 590550 h 609600"/>
                        <a:gd name="connsiteX3" fmla="*/ 19050 w 609600"/>
                        <a:gd name="connsiteY3" fmla="*/ 304800 h 609600"/>
                        <a:gd name="connsiteX4" fmla="*/ 304800 w 609600"/>
                        <a:gd name="connsiteY4" fmla="*/ 19050 h 609600"/>
                        <a:gd name="connsiteX5" fmla="*/ 304800 w 609600"/>
                        <a:gd name="connsiteY5" fmla="*/ 0 h 609600"/>
                        <a:gd name="connsiteX6" fmla="*/ 0 w 609600"/>
                        <a:gd name="connsiteY6" fmla="*/ 304800 h 609600"/>
                        <a:gd name="connsiteX7" fmla="*/ 304800 w 609600"/>
                        <a:gd name="connsiteY7" fmla="*/ 609600 h 609600"/>
                        <a:gd name="connsiteX8" fmla="*/ 609600 w 609600"/>
                        <a:gd name="connsiteY8" fmla="*/ 304800 h 609600"/>
                        <a:gd name="connsiteX9" fmla="*/ 304800 w 609600"/>
                        <a:gd name="connsiteY9" fmla="*/ 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609600" h="609600">
                          <a:moveTo>
                            <a:pt x="304800" y="19050"/>
                          </a:moveTo>
                          <a:cubicBezTo>
                            <a:pt x="462615" y="19050"/>
                            <a:pt x="590550" y="146985"/>
                            <a:pt x="590550" y="304800"/>
                          </a:cubicBezTo>
                          <a:cubicBezTo>
                            <a:pt x="590550" y="462615"/>
                            <a:pt x="462615" y="590550"/>
                            <a:pt x="304800" y="590550"/>
                          </a:cubicBezTo>
                          <a:cubicBezTo>
                            <a:pt x="146985" y="590550"/>
                            <a:pt x="19050" y="462615"/>
                            <a:pt x="19050" y="304800"/>
                          </a:cubicBezTo>
                          <a:cubicBezTo>
                            <a:pt x="19228" y="147058"/>
                            <a:pt x="147058" y="19228"/>
                            <a:pt x="304800" y="19050"/>
                          </a:cubicBezTo>
                          <a:moveTo>
                            <a:pt x="304800" y="0"/>
                          </a:moveTo>
                          <a:cubicBezTo>
                            <a:pt x="136464" y="0"/>
                            <a:pt x="0" y="136464"/>
                            <a:pt x="0" y="304800"/>
                          </a:cubicBezTo>
                          <a:cubicBezTo>
                            <a:pt x="0" y="473136"/>
                            <a:pt x="136464" y="609600"/>
                            <a:pt x="304800" y="609600"/>
                          </a:cubicBezTo>
                          <a:cubicBezTo>
                            <a:pt x="473136" y="609600"/>
                            <a:pt x="609600" y="473136"/>
                            <a:pt x="609600" y="304800"/>
                          </a:cubicBezTo>
                          <a:cubicBezTo>
                            <a:pt x="609411" y="136542"/>
                            <a:pt x="473058" y="189"/>
                            <a:pt x="304800" y="0"/>
                          </a:cubicBezTo>
                          <a:close/>
                        </a:path>
                      </a:pathLst>
                    </a:custGeom>
                    <a:grpFill/>
                    <a:ln w="9525" cap="flat">
                      <a:noFill/>
                      <a:prstDash val="solid"/>
                      <a:miter/>
                    </a:ln>
                  </xdr:spPr>
                  <xdr:txBody>
                    <a:bodyPr rtlCol="0" anchor="ctr"/>
                    <a:lstStyle/>
                    <a:p>
                      <a:endParaRPr lang="en-ID"/>
                    </a:p>
                  </xdr:txBody>
                </xdr:sp>
                <xdr:sp macro="" textlink="">
                  <xdr:nvSpPr>
                    <xdr:cNvPr id="20" name="Freeform: Shape 19">
                      <a:extLst>
                        <a:ext uri="{FF2B5EF4-FFF2-40B4-BE49-F238E27FC236}">
                          <a16:creationId xmlns:a16="http://schemas.microsoft.com/office/drawing/2014/main" id="{4352A883-DDF4-E3BA-BB4B-016E234B5D8D}"/>
                        </a:ext>
                      </a:extLst>
                    </xdr:cNvPr>
                    <xdr:cNvSpPr/>
                  </xdr:nvSpPr>
                  <xdr:spPr>
                    <a:xfrm>
                      <a:off x="5795010" y="1644014"/>
                      <a:ext cx="295275" cy="295275"/>
                    </a:xfrm>
                    <a:custGeom>
                      <a:avLst/>
                      <a:gdLst>
                        <a:gd name="connsiteX0" fmla="*/ 194939 w 295275"/>
                        <a:gd name="connsiteY0" fmla="*/ 194948 h 295275"/>
                        <a:gd name="connsiteX1" fmla="*/ 35023 w 295275"/>
                        <a:gd name="connsiteY1" fmla="*/ 260366 h 295275"/>
                        <a:gd name="connsiteX2" fmla="*/ 100336 w 295275"/>
                        <a:gd name="connsiteY2" fmla="*/ 102175 h 295275"/>
                        <a:gd name="connsiteX3" fmla="*/ 260252 w 295275"/>
                        <a:gd name="connsiteY3" fmla="*/ 35290 h 295275"/>
                        <a:gd name="connsiteX4" fmla="*/ 85725 w 295275"/>
                        <a:gd name="connsiteY4" fmla="*/ 87630 h 295275"/>
                        <a:gd name="connsiteX5" fmla="*/ 0 w 295275"/>
                        <a:gd name="connsiteY5" fmla="*/ 295275 h 295275"/>
                        <a:gd name="connsiteX6" fmla="*/ 209550 w 295275"/>
                        <a:gd name="connsiteY6" fmla="*/ 209550 h 295275"/>
                        <a:gd name="connsiteX7" fmla="*/ 295275 w 295275"/>
                        <a:gd name="connsiteY7" fmla="*/ 0 h 295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95275" h="295275">
                          <a:moveTo>
                            <a:pt x="194939" y="194948"/>
                          </a:moveTo>
                          <a:lnTo>
                            <a:pt x="35023" y="260366"/>
                          </a:lnTo>
                          <a:lnTo>
                            <a:pt x="100336" y="102175"/>
                          </a:lnTo>
                          <a:lnTo>
                            <a:pt x="260252" y="35290"/>
                          </a:lnTo>
                          <a:close/>
                          <a:moveTo>
                            <a:pt x="85725" y="87630"/>
                          </a:moveTo>
                          <a:lnTo>
                            <a:pt x="0" y="295275"/>
                          </a:lnTo>
                          <a:lnTo>
                            <a:pt x="209550" y="209550"/>
                          </a:lnTo>
                          <a:lnTo>
                            <a:pt x="295275" y="0"/>
                          </a:lnTo>
                          <a:close/>
                        </a:path>
                      </a:pathLst>
                    </a:custGeom>
                    <a:grpFill/>
                    <a:ln w="9525" cap="flat">
                      <a:noFill/>
                      <a:prstDash val="solid"/>
                      <a:miter/>
                    </a:ln>
                  </xdr:spPr>
                  <xdr:txBody>
                    <a:bodyPr rtlCol="0" anchor="ctr"/>
                    <a:lstStyle/>
                    <a:p>
                      <a:endParaRPr lang="en-ID"/>
                    </a:p>
                  </xdr:txBody>
                </xdr:sp>
                <xdr:sp macro="" textlink="">
                  <xdr:nvSpPr>
                    <xdr:cNvPr id="21" name="Freeform: Shape 20">
                      <a:extLst>
                        <a:ext uri="{FF2B5EF4-FFF2-40B4-BE49-F238E27FC236}">
                          <a16:creationId xmlns:a16="http://schemas.microsoft.com/office/drawing/2014/main" id="{2D7FF07B-223B-20E1-4AF1-00E5AFAE15D1}"/>
                        </a:ext>
                      </a:extLst>
                    </xdr:cNvPr>
                    <xdr:cNvSpPr/>
                  </xdr:nvSpPr>
                  <xdr:spPr>
                    <a:xfrm>
                      <a:off x="5924550" y="1771650"/>
                      <a:ext cx="38100" cy="38100"/>
                    </a:xfrm>
                    <a:custGeom>
                      <a:avLst/>
                      <a:gdLst>
                        <a:gd name="connsiteX0" fmla="*/ 38100 w 38100"/>
                        <a:gd name="connsiteY0" fmla="*/ 19050 h 38100"/>
                        <a:gd name="connsiteX1" fmla="*/ 19050 w 38100"/>
                        <a:gd name="connsiteY1" fmla="*/ 38100 h 38100"/>
                        <a:gd name="connsiteX2" fmla="*/ 0 w 38100"/>
                        <a:gd name="connsiteY2" fmla="*/ 19050 h 38100"/>
                        <a:gd name="connsiteX3" fmla="*/ 19050 w 38100"/>
                        <a:gd name="connsiteY3" fmla="*/ 0 h 38100"/>
                        <a:gd name="connsiteX4" fmla="*/ 38100 w 38100"/>
                        <a:gd name="connsiteY4" fmla="*/ 19050 h 381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8100" h="38100">
                          <a:moveTo>
                            <a:pt x="38100" y="19050"/>
                          </a:moveTo>
                          <a:cubicBezTo>
                            <a:pt x="38100" y="29571"/>
                            <a:pt x="29571" y="38100"/>
                            <a:pt x="19050" y="38100"/>
                          </a:cubicBezTo>
                          <a:cubicBezTo>
                            <a:pt x="8529" y="38100"/>
                            <a:pt x="0" y="29571"/>
                            <a:pt x="0" y="19050"/>
                          </a:cubicBezTo>
                          <a:cubicBezTo>
                            <a:pt x="0" y="8529"/>
                            <a:pt x="8529" y="0"/>
                            <a:pt x="19050" y="0"/>
                          </a:cubicBezTo>
                          <a:cubicBezTo>
                            <a:pt x="29571" y="0"/>
                            <a:pt x="38100" y="8529"/>
                            <a:pt x="38100" y="19050"/>
                          </a:cubicBezTo>
                          <a:close/>
                        </a:path>
                      </a:pathLst>
                    </a:custGeom>
                    <a:grpFill/>
                    <a:ln w="9525" cap="flat">
                      <a:noFill/>
                      <a:prstDash val="solid"/>
                      <a:miter/>
                    </a:ln>
                  </xdr:spPr>
                  <xdr:txBody>
                    <a:bodyPr rtlCol="0" anchor="ctr"/>
                    <a:lstStyle/>
                    <a:p>
                      <a:endParaRPr lang="en-ID"/>
                    </a:p>
                  </xdr:txBody>
                </xdr:sp>
              </xdr:grpSp>
            </xdr:grpSp>
            <xdr:sp macro="" textlink="">
              <xdr:nvSpPr>
                <xdr:cNvPr id="15" name="Rectangle: Rounded Corners 14">
                  <a:extLst>
                    <a:ext uri="{FF2B5EF4-FFF2-40B4-BE49-F238E27FC236}">
                      <a16:creationId xmlns:a16="http://schemas.microsoft.com/office/drawing/2014/main" id="{CD975884-00CA-EF1B-86F2-168D64571CA4}"/>
                    </a:ext>
                  </a:extLst>
                </xdr:cNvPr>
                <xdr:cNvSpPr/>
              </xdr:nvSpPr>
              <xdr:spPr>
                <a:xfrm>
                  <a:off x="11382375" y="257175"/>
                  <a:ext cx="180000" cy="28800"/>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16" name="TextBox 15">
                  <a:hlinkClick xmlns:r="http://schemas.openxmlformats.org/officeDocument/2006/relationships" r:id="rId6" tooltip="Project Status"/>
                  <a:extLst>
                    <a:ext uri="{FF2B5EF4-FFF2-40B4-BE49-F238E27FC236}">
                      <a16:creationId xmlns:a16="http://schemas.microsoft.com/office/drawing/2014/main" id="{CEC2BF55-CFC8-ADEF-C08D-8ADF51BAA97B}"/>
                    </a:ext>
                  </a:extLst>
                </xdr:cNvPr>
                <xdr:cNvSpPr txBox="1"/>
              </xdr:nvSpPr>
              <xdr:spPr>
                <a:xfrm>
                  <a:off x="11646177"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Measurement</a:t>
                  </a:r>
                </a:p>
              </xdr:txBody>
            </xdr:sp>
          </xdr:grpSp>
          <xdr:pic>
            <xdr:nvPicPr>
              <xdr:cNvPr id="8" name="Picture 7">
                <a:hlinkClick xmlns:r="http://schemas.openxmlformats.org/officeDocument/2006/relationships" r:id="rId7" tooltip="Dashboard"/>
                <a:extLst>
                  <a:ext uri="{FF2B5EF4-FFF2-40B4-BE49-F238E27FC236}">
                    <a16:creationId xmlns:a16="http://schemas.microsoft.com/office/drawing/2014/main" id="{1230DA6F-2AE7-7AFB-492B-2DFD18715D98}"/>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8016" t="35915" r="8861" b="35651"/>
              <a:stretch/>
            </xdr:blipFill>
            <xdr:spPr>
              <a:xfrm>
                <a:off x="123825" y="19050"/>
                <a:ext cx="1876426" cy="361950"/>
              </a:xfrm>
              <a:prstGeom prst="rect">
                <a:avLst/>
              </a:prstGeom>
            </xdr:spPr>
          </xdr:pic>
        </xdr:grpSp>
        <xdr:sp macro="" textlink="">
          <xdr:nvSpPr>
            <xdr:cNvPr id="6" name="Rectangle: Rounded Corners 5">
              <a:extLst>
                <a:ext uri="{FF2B5EF4-FFF2-40B4-BE49-F238E27FC236}">
                  <a16:creationId xmlns:a16="http://schemas.microsoft.com/office/drawing/2014/main" id="{B6BFE364-E044-EC5A-CF3A-4DDA49C7AEAD}"/>
                </a:ext>
              </a:extLst>
            </xdr:cNvPr>
            <xdr:cNvSpPr/>
          </xdr:nvSpPr>
          <xdr:spPr>
            <a:xfrm>
              <a:off x="11744325" y="276225"/>
              <a:ext cx="180000" cy="288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grpSp>
      <xdr:pic>
        <xdr:nvPicPr>
          <xdr:cNvPr id="4" name="Graphic 3" descr="Compass outline">
            <a:extLst>
              <a:ext uri="{FF2B5EF4-FFF2-40B4-BE49-F238E27FC236}">
                <a16:creationId xmlns:a16="http://schemas.microsoft.com/office/drawing/2014/main" id="{A329A520-481B-38DA-F903-35428B418E3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838701" y="38101"/>
            <a:ext cx="266700" cy="266700"/>
          </a:xfrm>
          <a:prstGeom prst="rect">
            <a:avLst/>
          </a:prstGeom>
        </xdr:spPr>
      </xdr:pic>
    </xdr:grpSp>
    <xdr:clientData/>
  </xdr:twoCellAnchor>
  <xdr:twoCellAnchor editAs="absolute">
    <xdr:from>
      <xdr:col>0</xdr:col>
      <xdr:colOff>571500</xdr:colOff>
      <xdr:row>3</xdr:row>
      <xdr:rowOff>57150</xdr:rowOff>
    </xdr:from>
    <xdr:to>
      <xdr:col>7</xdr:col>
      <xdr:colOff>336550</xdr:colOff>
      <xdr:row>4</xdr:row>
      <xdr:rowOff>180975</xdr:rowOff>
    </xdr:to>
    <xdr:grpSp>
      <xdr:nvGrpSpPr>
        <xdr:cNvPr id="36" name="Group 35">
          <a:extLst>
            <a:ext uri="{FF2B5EF4-FFF2-40B4-BE49-F238E27FC236}">
              <a16:creationId xmlns:a16="http://schemas.microsoft.com/office/drawing/2014/main" id="{52F1770E-FE2F-4604-ABEA-F2256758C698}"/>
            </a:ext>
          </a:extLst>
        </xdr:cNvPr>
        <xdr:cNvGrpSpPr/>
      </xdr:nvGrpSpPr>
      <xdr:grpSpPr>
        <a:xfrm>
          <a:off x="571500" y="628650"/>
          <a:ext cx="7165975" cy="314325"/>
          <a:chOff x="771525" y="581025"/>
          <a:chExt cx="7162800" cy="314325"/>
        </a:xfrm>
      </xdr:grpSpPr>
      <xdr:grpSp>
        <xdr:nvGrpSpPr>
          <xdr:cNvPr id="37" name="Group 36">
            <a:hlinkClick xmlns:r="http://schemas.openxmlformats.org/officeDocument/2006/relationships" r:id="rId6"/>
            <a:extLst>
              <a:ext uri="{FF2B5EF4-FFF2-40B4-BE49-F238E27FC236}">
                <a16:creationId xmlns:a16="http://schemas.microsoft.com/office/drawing/2014/main" id="{54C465DA-8FFB-5E4C-1A95-2FEBDB1E1E93}"/>
              </a:ext>
            </a:extLst>
          </xdr:cNvPr>
          <xdr:cNvGrpSpPr/>
        </xdr:nvGrpSpPr>
        <xdr:grpSpPr>
          <a:xfrm>
            <a:off x="771525" y="581025"/>
            <a:ext cx="1247775" cy="314325"/>
            <a:chOff x="190500" y="552450"/>
            <a:chExt cx="1247775" cy="314325"/>
          </a:xfrm>
        </xdr:grpSpPr>
        <xdr:sp macro="" textlink="">
          <xdr:nvSpPr>
            <xdr:cNvPr id="51" name="Rectangle: Rounded Corners 50">
              <a:extLst>
                <a:ext uri="{FF2B5EF4-FFF2-40B4-BE49-F238E27FC236}">
                  <a16:creationId xmlns:a16="http://schemas.microsoft.com/office/drawing/2014/main" id="{887488DD-3A68-452F-5958-8D965F1F2033}"/>
                </a:ext>
              </a:extLst>
            </xdr:cNvPr>
            <xdr:cNvSpPr/>
          </xdr:nvSpPr>
          <xdr:spPr>
            <a:xfrm>
              <a:off x="190500"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52" name="TextBox 51">
              <a:extLst>
                <a:ext uri="{FF2B5EF4-FFF2-40B4-BE49-F238E27FC236}">
                  <a16:creationId xmlns:a16="http://schemas.microsoft.com/office/drawing/2014/main" id="{5F2686AD-A95D-0D5A-BE9F-061C761B72EC}"/>
                </a:ext>
              </a:extLst>
            </xdr:cNvPr>
            <xdr:cNvSpPr txBox="1"/>
          </xdr:nvSpPr>
          <xdr:spPr>
            <a:xfrm>
              <a:off x="338137"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solidFill>
                    <a:schemeClr val="bg1"/>
                  </a:solidFill>
                  <a:latin typeface="Avenir Next LT Pro" panose="020B0504020202020204" pitchFamily="34" charset="0"/>
                </a:rPr>
                <a:t>Persediaan</a:t>
              </a:r>
            </a:p>
          </xdr:txBody>
        </xdr:sp>
      </xdr:grpSp>
      <xdr:grpSp>
        <xdr:nvGrpSpPr>
          <xdr:cNvPr id="38" name="Group 37">
            <a:hlinkClick xmlns:r="http://schemas.openxmlformats.org/officeDocument/2006/relationships" r:id="rId11"/>
            <a:extLst>
              <a:ext uri="{FF2B5EF4-FFF2-40B4-BE49-F238E27FC236}">
                <a16:creationId xmlns:a16="http://schemas.microsoft.com/office/drawing/2014/main" id="{30529929-785B-8917-254F-C827DA9A1601}"/>
              </a:ext>
            </a:extLst>
          </xdr:cNvPr>
          <xdr:cNvGrpSpPr/>
        </xdr:nvGrpSpPr>
        <xdr:grpSpPr>
          <a:xfrm>
            <a:off x="2247900" y="581025"/>
            <a:ext cx="1247775" cy="314325"/>
            <a:chOff x="1666875" y="552450"/>
            <a:chExt cx="1247775" cy="314325"/>
          </a:xfrm>
        </xdr:grpSpPr>
        <xdr:sp macro="" textlink="">
          <xdr:nvSpPr>
            <xdr:cNvPr id="49" name="Rectangle: Rounded Corners 48">
              <a:extLst>
                <a:ext uri="{FF2B5EF4-FFF2-40B4-BE49-F238E27FC236}">
                  <a16:creationId xmlns:a16="http://schemas.microsoft.com/office/drawing/2014/main" id="{B3AEFB5A-F745-8ACA-5EDF-4CD02FE83F20}"/>
                </a:ext>
              </a:extLst>
            </xdr:cNvPr>
            <xdr:cNvSpPr/>
          </xdr:nvSpPr>
          <xdr:spPr>
            <a:xfrm>
              <a:off x="16668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50" name="TextBox 49">
              <a:extLst>
                <a:ext uri="{FF2B5EF4-FFF2-40B4-BE49-F238E27FC236}">
                  <a16:creationId xmlns:a16="http://schemas.microsoft.com/office/drawing/2014/main" id="{A905FBCF-DE58-07ED-FAC9-C3987CED50DE}"/>
                </a:ext>
              </a:extLst>
            </xdr:cNvPr>
            <xdr:cNvSpPr txBox="1"/>
          </xdr:nvSpPr>
          <xdr:spPr>
            <a:xfrm>
              <a:off x="1814512"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100" b="1">
                  <a:solidFill>
                    <a:schemeClr val="bg1"/>
                  </a:solidFill>
                  <a:latin typeface="Avenir Next LT Pro" panose="020B0504020202020204" pitchFamily="34" charset="0"/>
                </a:rPr>
                <a:t>BTK</a:t>
              </a:r>
            </a:p>
          </xdr:txBody>
        </xdr:sp>
      </xdr:grpSp>
      <xdr:grpSp>
        <xdr:nvGrpSpPr>
          <xdr:cNvPr id="39" name="Group 38">
            <a:extLst>
              <a:ext uri="{FF2B5EF4-FFF2-40B4-BE49-F238E27FC236}">
                <a16:creationId xmlns:a16="http://schemas.microsoft.com/office/drawing/2014/main" id="{2C481A49-D8EA-7E18-7173-462FAF1E53CB}"/>
              </a:ext>
            </a:extLst>
          </xdr:cNvPr>
          <xdr:cNvGrpSpPr/>
        </xdr:nvGrpSpPr>
        <xdr:grpSpPr>
          <a:xfrm>
            <a:off x="3743325" y="581025"/>
            <a:ext cx="2724150" cy="314325"/>
            <a:chOff x="3162300" y="552450"/>
            <a:chExt cx="2724150" cy="314325"/>
          </a:xfrm>
        </xdr:grpSpPr>
        <xdr:grpSp>
          <xdr:nvGrpSpPr>
            <xdr:cNvPr id="43" name="Group 42">
              <a:hlinkClick xmlns:r="http://schemas.openxmlformats.org/officeDocument/2006/relationships" r:id="rId12"/>
              <a:extLst>
                <a:ext uri="{FF2B5EF4-FFF2-40B4-BE49-F238E27FC236}">
                  <a16:creationId xmlns:a16="http://schemas.microsoft.com/office/drawing/2014/main" id="{F0E86B38-4455-4BAF-252E-C3197203B4D7}"/>
                </a:ext>
              </a:extLst>
            </xdr:cNvPr>
            <xdr:cNvGrpSpPr/>
          </xdr:nvGrpSpPr>
          <xdr:grpSpPr>
            <a:xfrm>
              <a:off x="3162300" y="552450"/>
              <a:ext cx="1247775" cy="314325"/>
              <a:chOff x="3162300" y="552450"/>
              <a:chExt cx="1247775" cy="314325"/>
            </a:xfrm>
          </xdr:grpSpPr>
          <xdr:sp macro="" textlink="">
            <xdr:nvSpPr>
              <xdr:cNvPr id="47" name="Rectangle: Rounded Corners 46">
                <a:extLst>
                  <a:ext uri="{FF2B5EF4-FFF2-40B4-BE49-F238E27FC236}">
                    <a16:creationId xmlns:a16="http://schemas.microsoft.com/office/drawing/2014/main" id="{EAB385B9-3D53-D300-CC88-9A4E26FA4FE7}"/>
                  </a:ext>
                </a:extLst>
              </xdr:cNvPr>
              <xdr:cNvSpPr/>
            </xdr:nvSpPr>
            <xdr:spPr>
              <a:xfrm>
                <a:off x="3162300"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8" name="TextBox 47">
                <a:extLst>
                  <a:ext uri="{FF2B5EF4-FFF2-40B4-BE49-F238E27FC236}">
                    <a16:creationId xmlns:a16="http://schemas.microsoft.com/office/drawing/2014/main" id="{50E3DBC9-638E-2EF3-A0CC-CB357EE2A486}"/>
                  </a:ext>
                </a:extLst>
              </xdr:cNvPr>
              <xdr:cNvSpPr txBox="1"/>
            </xdr:nvSpPr>
            <xdr:spPr>
              <a:xfrm>
                <a:off x="3309937" y="576262"/>
                <a:ext cx="985838"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solidFill>
                      <a:schemeClr val="bg1"/>
                    </a:solidFill>
                    <a:latin typeface="Avenir Next LT Pro" panose="020B0504020202020204" pitchFamily="34" charset="0"/>
                  </a:rPr>
                  <a:t>Penyusutan</a:t>
                </a:r>
              </a:p>
            </xdr:txBody>
          </xdr:sp>
        </xdr:grpSp>
        <xdr:grpSp>
          <xdr:nvGrpSpPr>
            <xdr:cNvPr id="44" name="Group 43">
              <a:extLst>
                <a:ext uri="{FF2B5EF4-FFF2-40B4-BE49-F238E27FC236}">
                  <a16:creationId xmlns:a16="http://schemas.microsoft.com/office/drawing/2014/main" id="{904EB06F-4FE7-5088-B505-A72859605820}"/>
                </a:ext>
              </a:extLst>
            </xdr:cNvPr>
            <xdr:cNvGrpSpPr/>
          </xdr:nvGrpSpPr>
          <xdr:grpSpPr>
            <a:xfrm>
              <a:off x="4638675" y="552450"/>
              <a:ext cx="1247775" cy="314325"/>
              <a:chOff x="4638675" y="552450"/>
              <a:chExt cx="1247775" cy="314325"/>
            </a:xfrm>
          </xdr:grpSpPr>
          <xdr:sp macro="" textlink="">
            <xdr:nvSpPr>
              <xdr:cNvPr id="45" name="Rectangle: Rounded Corners 44">
                <a:extLst>
                  <a:ext uri="{FF2B5EF4-FFF2-40B4-BE49-F238E27FC236}">
                    <a16:creationId xmlns:a16="http://schemas.microsoft.com/office/drawing/2014/main" id="{05445962-BC78-BC9A-FC71-29ECA7A01B8D}"/>
                  </a:ext>
                </a:extLst>
              </xdr:cNvPr>
              <xdr:cNvSpPr/>
            </xdr:nvSpPr>
            <xdr:spPr>
              <a:xfrm>
                <a:off x="46386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6" name="TextBox 45">
                <a:hlinkClick xmlns:r="http://schemas.openxmlformats.org/officeDocument/2006/relationships" r:id="rId13"/>
                <a:extLst>
                  <a:ext uri="{FF2B5EF4-FFF2-40B4-BE49-F238E27FC236}">
                    <a16:creationId xmlns:a16="http://schemas.microsoft.com/office/drawing/2014/main" id="{7D8F7695-71AF-2FCF-3475-B78937CB8D0E}"/>
                  </a:ext>
                </a:extLst>
              </xdr:cNvPr>
              <xdr:cNvSpPr txBox="1"/>
            </xdr:nvSpPr>
            <xdr:spPr>
              <a:xfrm>
                <a:off x="4786312" y="576262"/>
                <a:ext cx="1081088"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900" b="1">
                    <a:solidFill>
                      <a:schemeClr val="bg1"/>
                    </a:solidFill>
                    <a:latin typeface="Avenir Next LT Pro" panose="020B0504020202020204" pitchFamily="34" charset="0"/>
                  </a:rPr>
                  <a:t>Aging</a:t>
                </a:r>
                <a:r>
                  <a:rPr lang="en-ID" sz="900" b="1" baseline="0">
                    <a:solidFill>
                      <a:schemeClr val="bg1"/>
                    </a:solidFill>
                    <a:latin typeface="Avenir Next LT Pro" panose="020B0504020202020204" pitchFamily="34" charset="0"/>
                  </a:rPr>
                  <a:t> Schedule</a:t>
                </a:r>
                <a:endParaRPr lang="en-ID" sz="900" b="1">
                  <a:solidFill>
                    <a:schemeClr val="bg1"/>
                  </a:solidFill>
                  <a:latin typeface="Avenir Next LT Pro" panose="020B0504020202020204" pitchFamily="34" charset="0"/>
                </a:endParaRPr>
              </a:p>
            </xdr:txBody>
          </xdr:sp>
        </xdr:grpSp>
      </xdr:grpSp>
      <xdr:grpSp>
        <xdr:nvGrpSpPr>
          <xdr:cNvPr id="40" name="Group 39">
            <a:hlinkClick xmlns:r="http://schemas.openxmlformats.org/officeDocument/2006/relationships" r:id="rId11"/>
            <a:extLst>
              <a:ext uri="{FF2B5EF4-FFF2-40B4-BE49-F238E27FC236}">
                <a16:creationId xmlns:a16="http://schemas.microsoft.com/office/drawing/2014/main" id="{7A7181A1-0377-0248-6AE1-B85E1C8A34F2}"/>
              </a:ext>
            </a:extLst>
          </xdr:cNvPr>
          <xdr:cNvGrpSpPr/>
        </xdr:nvGrpSpPr>
        <xdr:grpSpPr>
          <a:xfrm>
            <a:off x="6686550" y="581025"/>
            <a:ext cx="1247775" cy="314325"/>
            <a:chOff x="1666875" y="552450"/>
            <a:chExt cx="1247775" cy="314325"/>
          </a:xfrm>
        </xdr:grpSpPr>
        <xdr:sp macro="" textlink="">
          <xdr:nvSpPr>
            <xdr:cNvPr id="41" name="Rectangle: Rounded Corners 40">
              <a:extLst>
                <a:ext uri="{FF2B5EF4-FFF2-40B4-BE49-F238E27FC236}">
                  <a16:creationId xmlns:a16="http://schemas.microsoft.com/office/drawing/2014/main" id="{C70B1E98-57AC-09B2-3DFB-810146F75B8F}"/>
                </a:ext>
              </a:extLst>
            </xdr:cNvPr>
            <xdr:cNvSpPr/>
          </xdr:nvSpPr>
          <xdr:spPr>
            <a:xfrm>
              <a:off x="16668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2" name="TextBox 41">
              <a:hlinkClick xmlns:r="http://schemas.openxmlformats.org/officeDocument/2006/relationships" r:id="rId14" tooltip="Obligasi"/>
              <a:extLst>
                <a:ext uri="{FF2B5EF4-FFF2-40B4-BE49-F238E27FC236}">
                  <a16:creationId xmlns:a16="http://schemas.microsoft.com/office/drawing/2014/main" id="{0BFD8397-AFB3-E87B-156D-DFD610DF5A61}"/>
                </a:ext>
              </a:extLst>
            </xdr:cNvPr>
            <xdr:cNvSpPr txBox="1"/>
          </xdr:nvSpPr>
          <xdr:spPr>
            <a:xfrm>
              <a:off x="1814512"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100" b="1">
                  <a:solidFill>
                    <a:schemeClr val="bg1"/>
                  </a:solidFill>
                  <a:latin typeface="Avenir Next LT Pro" panose="020B0504020202020204" pitchFamily="34" charset="0"/>
                </a:rPr>
                <a:t>Liabilities</a:t>
              </a:r>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539750</xdr:colOff>
      <xdr:row>12</xdr:row>
      <xdr:rowOff>0</xdr:rowOff>
    </xdr:from>
    <xdr:to>
      <xdr:col>7</xdr:col>
      <xdr:colOff>160625</xdr:colOff>
      <xdr:row>14</xdr:row>
      <xdr:rowOff>95250</xdr:rowOff>
    </xdr:to>
    <xdr:pic>
      <xdr:nvPicPr>
        <xdr:cNvPr id="3" name="Picture 2">
          <a:extLst>
            <a:ext uri="{FF2B5EF4-FFF2-40B4-BE49-F238E27FC236}">
              <a16:creationId xmlns:a16="http://schemas.microsoft.com/office/drawing/2014/main" id="{C44C826F-D9F7-AC03-8332-E00D77259EAA}"/>
            </a:ext>
          </a:extLst>
        </xdr:cNvPr>
        <xdr:cNvPicPr>
          <a:picLocks noChangeAspect="1"/>
        </xdr:cNvPicPr>
      </xdr:nvPicPr>
      <xdr:blipFill>
        <a:blip xmlns:r="http://schemas.openxmlformats.org/officeDocument/2006/relationships" r:embed="rId1"/>
        <a:stretch>
          <a:fillRect/>
        </a:stretch>
      </xdr:blipFill>
      <xdr:spPr>
        <a:xfrm>
          <a:off x="539750" y="2159000"/>
          <a:ext cx="4669125" cy="476250"/>
        </a:xfrm>
        <a:prstGeom prst="rect">
          <a:avLst/>
        </a:prstGeom>
      </xdr:spPr>
    </xdr:pic>
    <xdr:clientData/>
  </xdr:twoCellAnchor>
  <xdr:twoCellAnchor editAs="absolute">
    <xdr:from>
      <xdr:col>0</xdr:col>
      <xdr:colOff>0</xdr:colOff>
      <xdr:row>0</xdr:row>
      <xdr:rowOff>0</xdr:rowOff>
    </xdr:from>
    <xdr:to>
      <xdr:col>20</xdr:col>
      <xdr:colOff>552451</xdr:colOff>
      <xdr:row>2</xdr:row>
      <xdr:rowOff>0</xdr:rowOff>
    </xdr:to>
    <xdr:grpSp>
      <xdr:nvGrpSpPr>
        <xdr:cNvPr id="2" name="Group 1">
          <a:extLst>
            <a:ext uri="{FF2B5EF4-FFF2-40B4-BE49-F238E27FC236}">
              <a16:creationId xmlns:a16="http://schemas.microsoft.com/office/drawing/2014/main" id="{F565E5B8-01E5-4D4C-AAB0-A91EAAA1A5FD}"/>
            </a:ext>
          </a:extLst>
        </xdr:cNvPr>
        <xdr:cNvGrpSpPr/>
      </xdr:nvGrpSpPr>
      <xdr:grpSpPr>
        <a:xfrm>
          <a:off x="0" y="0"/>
          <a:ext cx="13554076" cy="381000"/>
          <a:chOff x="0" y="0"/>
          <a:chExt cx="13554076" cy="381000"/>
        </a:xfrm>
      </xdr:grpSpPr>
      <xdr:grpSp>
        <xdr:nvGrpSpPr>
          <xdr:cNvPr id="4" name="Group 3">
            <a:extLst>
              <a:ext uri="{FF2B5EF4-FFF2-40B4-BE49-F238E27FC236}">
                <a16:creationId xmlns:a16="http://schemas.microsoft.com/office/drawing/2014/main" id="{13878499-2F9F-A236-1B6B-8E3C96F0B7D0}"/>
              </a:ext>
            </a:extLst>
          </xdr:cNvPr>
          <xdr:cNvGrpSpPr/>
        </xdr:nvGrpSpPr>
        <xdr:grpSpPr>
          <a:xfrm>
            <a:off x="0" y="0"/>
            <a:ext cx="13554076" cy="381000"/>
            <a:chOff x="0" y="0"/>
            <a:chExt cx="13554076" cy="381000"/>
          </a:xfrm>
        </xdr:grpSpPr>
        <xdr:grpSp>
          <xdr:nvGrpSpPr>
            <xdr:cNvPr id="6" name="Group 5">
              <a:extLst>
                <a:ext uri="{FF2B5EF4-FFF2-40B4-BE49-F238E27FC236}">
                  <a16:creationId xmlns:a16="http://schemas.microsoft.com/office/drawing/2014/main" id="{9C482DBE-3C5C-44E1-BEFE-3A1C2B4E36D7}"/>
                </a:ext>
              </a:extLst>
            </xdr:cNvPr>
            <xdr:cNvGrpSpPr/>
          </xdr:nvGrpSpPr>
          <xdr:grpSpPr>
            <a:xfrm>
              <a:off x="0" y="0"/>
              <a:ext cx="13554076" cy="381000"/>
              <a:chOff x="0" y="0"/>
              <a:chExt cx="13554076" cy="381000"/>
            </a:xfrm>
          </xdr:grpSpPr>
          <xdr:grpSp>
            <xdr:nvGrpSpPr>
              <xdr:cNvPr id="8" name="Group 7">
                <a:extLst>
                  <a:ext uri="{FF2B5EF4-FFF2-40B4-BE49-F238E27FC236}">
                    <a16:creationId xmlns:a16="http://schemas.microsoft.com/office/drawing/2014/main" id="{A4CD7937-EBF5-9E8D-D745-6949F50897A1}"/>
                  </a:ext>
                </a:extLst>
              </xdr:cNvPr>
              <xdr:cNvGrpSpPr/>
            </xdr:nvGrpSpPr>
            <xdr:grpSpPr>
              <a:xfrm>
                <a:off x="0" y="0"/>
                <a:ext cx="13554076" cy="360000"/>
                <a:chOff x="0" y="0"/>
                <a:chExt cx="13554076" cy="352424"/>
              </a:xfr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2700000" scaled="1"/>
                <a:tileRect/>
              </a:gradFill>
              <a:effectLst>
                <a:outerShdw blurRad="50800" dist="38100" dir="5400000" algn="t" rotWithShape="0">
                  <a:prstClr val="black">
                    <a:alpha val="40000"/>
                  </a:prstClr>
                </a:outerShdw>
              </a:effectLst>
            </xdr:grpSpPr>
            <xdr:sp macro="" textlink="">
              <xdr:nvSpPr>
                <xdr:cNvPr id="10" name="Rectangle 9">
                  <a:extLst>
                    <a:ext uri="{FF2B5EF4-FFF2-40B4-BE49-F238E27FC236}">
                      <a16:creationId xmlns:a16="http://schemas.microsoft.com/office/drawing/2014/main" id="{936CEA3F-5CED-10C3-BA3F-4DF9BB97078C}"/>
                    </a:ext>
                  </a:extLst>
                </xdr:cNvPr>
                <xdr:cNvSpPr/>
              </xdr:nvSpPr>
              <xdr:spPr>
                <a:xfrm>
                  <a:off x="0" y="0"/>
                  <a:ext cx="13554076" cy="352424"/>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11" name="TextBox 10">
                  <a:hlinkClick xmlns:r="http://schemas.openxmlformats.org/officeDocument/2006/relationships" r:id="rId2" tooltip="Reports"/>
                  <a:extLst>
                    <a:ext uri="{FF2B5EF4-FFF2-40B4-BE49-F238E27FC236}">
                      <a16:creationId xmlns:a16="http://schemas.microsoft.com/office/drawing/2014/main" id="{02188D48-8F5A-A6A4-8EAF-C243A3D800C1}"/>
                    </a:ext>
                  </a:extLst>
                </xdr:cNvPr>
                <xdr:cNvSpPr txBox="1"/>
              </xdr:nvSpPr>
              <xdr:spPr>
                <a:xfrm>
                  <a:off x="10187147" y="37499"/>
                  <a:ext cx="986167"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Reports</a:t>
                  </a:r>
                </a:p>
              </xdr:txBody>
            </xdr:sp>
            <xdr:sp macro="" textlink="">
              <xdr:nvSpPr>
                <xdr:cNvPr id="12" name="TextBox 11">
                  <a:hlinkClick xmlns:r="http://schemas.openxmlformats.org/officeDocument/2006/relationships" r:id="rId3" tooltip="Project Status"/>
                  <a:extLst>
                    <a:ext uri="{FF2B5EF4-FFF2-40B4-BE49-F238E27FC236}">
                      <a16:creationId xmlns:a16="http://schemas.microsoft.com/office/drawing/2014/main" id="{A4224E58-665E-F608-AED8-705B46324DE9}"/>
                    </a:ext>
                  </a:extLst>
                </xdr:cNvPr>
                <xdr:cNvSpPr txBox="1"/>
              </xdr:nvSpPr>
              <xdr:spPr>
                <a:xfrm>
                  <a:off x="10855602"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Dashboard</a:t>
                  </a:r>
                </a:p>
              </xdr:txBody>
            </xdr:sp>
            <xdr:sp macro="" textlink="">
              <xdr:nvSpPr>
                <xdr:cNvPr id="13" name="TextBox 12">
                  <a:hlinkClick xmlns:r="http://schemas.openxmlformats.org/officeDocument/2006/relationships" r:id="rId4" tooltip="Income Sources"/>
                  <a:extLst>
                    <a:ext uri="{FF2B5EF4-FFF2-40B4-BE49-F238E27FC236}">
                      <a16:creationId xmlns:a16="http://schemas.microsoft.com/office/drawing/2014/main" id="{24BC3541-EA73-E742-CC7D-133DA96C840E}"/>
                    </a:ext>
                  </a:extLst>
                </xdr:cNvPr>
                <xdr:cNvSpPr txBox="1"/>
              </xdr:nvSpPr>
              <xdr:spPr>
                <a:xfrm>
                  <a:off x="7702827" y="28575"/>
                  <a:ext cx="1212640"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Genenral</a:t>
                  </a:r>
                  <a:r>
                    <a:rPr lang="en-ID" sz="1100" kern="1200" baseline="0">
                      <a:solidFill>
                        <a:schemeClr val="bg1"/>
                      </a:solidFill>
                      <a:latin typeface="Avenir Next LT Pro" panose="020B0504020202020204" pitchFamily="34" charset="0"/>
                    </a:rPr>
                    <a:t> Journal</a:t>
                  </a:r>
                  <a:endParaRPr lang="en-ID" sz="1100" kern="1200">
                    <a:solidFill>
                      <a:schemeClr val="bg1"/>
                    </a:solidFill>
                    <a:latin typeface="Avenir Next LT Pro" panose="020B0504020202020204" pitchFamily="34" charset="0"/>
                  </a:endParaRPr>
                </a:p>
              </xdr:txBody>
            </xdr:sp>
            <xdr:sp macro="" textlink="">
              <xdr:nvSpPr>
                <xdr:cNvPr id="14" name="TextBox 13">
                  <a:hlinkClick xmlns:r="http://schemas.openxmlformats.org/officeDocument/2006/relationships" r:id="rId5" tooltip="RAPBO"/>
                  <a:extLst>
                    <a:ext uri="{FF2B5EF4-FFF2-40B4-BE49-F238E27FC236}">
                      <a16:creationId xmlns:a16="http://schemas.microsoft.com/office/drawing/2014/main" id="{D95C70DD-5F9A-8B17-1527-39DBEB41AA81}"/>
                    </a:ext>
                  </a:extLst>
                </xdr:cNvPr>
                <xdr:cNvSpPr txBox="1"/>
              </xdr:nvSpPr>
              <xdr:spPr>
                <a:xfrm>
                  <a:off x="9045431" y="28575"/>
                  <a:ext cx="1193944"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General</a:t>
                  </a:r>
                  <a:r>
                    <a:rPr lang="en-ID" sz="1100" kern="1200" baseline="0">
                      <a:solidFill>
                        <a:schemeClr val="bg1"/>
                      </a:solidFill>
                      <a:latin typeface="Avenir Next LT Pro" panose="020B0504020202020204" pitchFamily="34" charset="0"/>
                    </a:rPr>
                    <a:t> Ledger</a:t>
                  </a:r>
                  <a:endParaRPr lang="en-ID" sz="1100" kern="1200">
                    <a:solidFill>
                      <a:schemeClr val="bg1"/>
                    </a:solidFill>
                    <a:latin typeface="Avenir Next LT Pro" panose="020B0504020202020204" pitchFamily="34" charset="0"/>
                  </a:endParaRPr>
                </a:p>
              </xdr:txBody>
            </xdr:sp>
            <xdr:grpSp>
              <xdr:nvGrpSpPr>
                <xdr:cNvPr id="15" name="Group 14">
                  <a:extLst>
                    <a:ext uri="{FF2B5EF4-FFF2-40B4-BE49-F238E27FC236}">
                      <a16:creationId xmlns:a16="http://schemas.microsoft.com/office/drawing/2014/main" id="{BA9B0381-40D7-22E1-F2BE-CA0A72B83361}"/>
                    </a:ext>
                  </a:extLst>
                </xdr:cNvPr>
                <xdr:cNvGrpSpPr/>
              </xdr:nvGrpSpPr>
              <xdr:grpSpPr>
                <a:xfrm>
                  <a:off x="5016777" y="28575"/>
                  <a:ext cx="802998" cy="263405"/>
                  <a:chOff x="5016777" y="47625"/>
                  <a:chExt cx="802998" cy="263405"/>
                </a:xfrm>
                <a:grpFill/>
              </xdr:grpSpPr>
              <xdr:sp macro="" textlink="">
                <xdr:nvSpPr>
                  <xdr:cNvPr id="18" name="TextBox 17">
                    <a:hlinkClick xmlns:r="http://schemas.openxmlformats.org/officeDocument/2006/relationships" r:id="rId6" tooltip="Urbane Stitch Store"/>
                    <a:extLst>
                      <a:ext uri="{FF2B5EF4-FFF2-40B4-BE49-F238E27FC236}">
                        <a16:creationId xmlns:a16="http://schemas.microsoft.com/office/drawing/2014/main" id="{AEE782E3-E24E-696E-DD53-3707D17EB723}"/>
                      </a:ext>
                    </a:extLst>
                  </xdr:cNvPr>
                  <xdr:cNvSpPr txBox="1"/>
                </xdr:nvSpPr>
                <xdr:spPr>
                  <a:xfrm>
                    <a:off x="5016777" y="47625"/>
                    <a:ext cx="659861"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Browse</a:t>
                    </a:r>
                  </a:p>
                </xdr:txBody>
              </xdr:sp>
              <xdr:grpSp>
                <xdr:nvGrpSpPr>
                  <xdr:cNvPr id="19" name="Graphic 10" descr="Compass outline">
                    <a:extLst>
                      <a:ext uri="{FF2B5EF4-FFF2-40B4-BE49-F238E27FC236}">
                        <a16:creationId xmlns:a16="http://schemas.microsoft.com/office/drawing/2014/main" id="{ACB9E6F7-CEA4-03F5-CC5B-DE4712E7F4AC}"/>
                      </a:ext>
                    </a:extLst>
                  </xdr:cNvPr>
                  <xdr:cNvGrpSpPr/>
                </xdr:nvGrpSpPr>
                <xdr:grpSpPr>
                  <a:xfrm>
                    <a:off x="5629275" y="85725"/>
                    <a:ext cx="190500" cy="190500"/>
                    <a:chOff x="5638800" y="1485900"/>
                    <a:chExt cx="609600" cy="609600"/>
                  </a:xfrm>
                  <a:grpFill/>
                </xdr:grpSpPr>
                <xdr:sp macro="" textlink="">
                  <xdr:nvSpPr>
                    <xdr:cNvPr id="20" name="Freeform: Shape 19">
                      <a:extLst>
                        <a:ext uri="{FF2B5EF4-FFF2-40B4-BE49-F238E27FC236}">
                          <a16:creationId xmlns:a16="http://schemas.microsoft.com/office/drawing/2014/main" id="{78B12102-5220-A5C2-FB60-289BD17BECA1}"/>
                        </a:ext>
                      </a:extLst>
                    </xdr:cNvPr>
                    <xdr:cNvSpPr/>
                  </xdr:nvSpPr>
                  <xdr:spPr>
                    <a:xfrm>
                      <a:off x="5638800" y="1485900"/>
                      <a:ext cx="609600" cy="609600"/>
                    </a:xfrm>
                    <a:custGeom>
                      <a:avLst/>
                      <a:gdLst>
                        <a:gd name="connsiteX0" fmla="*/ 304800 w 609600"/>
                        <a:gd name="connsiteY0" fmla="*/ 19050 h 609600"/>
                        <a:gd name="connsiteX1" fmla="*/ 590550 w 609600"/>
                        <a:gd name="connsiteY1" fmla="*/ 304800 h 609600"/>
                        <a:gd name="connsiteX2" fmla="*/ 304800 w 609600"/>
                        <a:gd name="connsiteY2" fmla="*/ 590550 h 609600"/>
                        <a:gd name="connsiteX3" fmla="*/ 19050 w 609600"/>
                        <a:gd name="connsiteY3" fmla="*/ 304800 h 609600"/>
                        <a:gd name="connsiteX4" fmla="*/ 304800 w 609600"/>
                        <a:gd name="connsiteY4" fmla="*/ 19050 h 609600"/>
                        <a:gd name="connsiteX5" fmla="*/ 304800 w 609600"/>
                        <a:gd name="connsiteY5" fmla="*/ 0 h 609600"/>
                        <a:gd name="connsiteX6" fmla="*/ 0 w 609600"/>
                        <a:gd name="connsiteY6" fmla="*/ 304800 h 609600"/>
                        <a:gd name="connsiteX7" fmla="*/ 304800 w 609600"/>
                        <a:gd name="connsiteY7" fmla="*/ 609600 h 609600"/>
                        <a:gd name="connsiteX8" fmla="*/ 609600 w 609600"/>
                        <a:gd name="connsiteY8" fmla="*/ 304800 h 609600"/>
                        <a:gd name="connsiteX9" fmla="*/ 304800 w 609600"/>
                        <a:gd name="connsiteY9" fmla="*/ 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609600" h="609600">
                          <a:moveTo>
                            <a:pt x="304800" y="19050"/>
                          </a:moveTo>
                          <a:cubicBezTo>
                            <a:pt x="462615" y="19050"/>
                            <a:pt x="590550" y="146985"/>
                            <a:pt x="590550" y="304800"/>
                          </a:cubicBezTo>
                          <a:cubicBezTo>
                            <a:pt x="590550" y="462615"/>
                            <a:pt x="462615" y="590550"/>
                            <a:pt x="304800" y="590550"/>
                          </a:cubicBezTo>
                          <a:cubicBezTo>
                            <a:pt x="146985" y="590550"/>
                            <a:pt x="19050" y="462615"/>
                            <a:pt x="19050" y="304800"/>
                          </a:cubicBezTo>
                          <a:cubicBezTo>
                            <a:pt x="19228" y="147058"/>
                            <a:pt x="147058" y="19228"/>
                            <a:pt x="304800" y="19050"/>
                          </a:cubicBezTo>
                          <a:moveTo>
                            <a:pt x="304800" y="0"/>
                          </a:moveTo>
                          <a:cubicBezTo>
                            <a:pt x="136464" y="0"/>
                            <a:pt x="0" y="136464"/>
                            <a:pt x="0" y="304800"/>
                          </a:cubicBezTo>
                          <a:cubicBezTo>
                            <a:pt x="0" y="473136"/>
                            <a:pt x="136464" y="609600"/>
                            <a:pt x="304800" y="609600"/>
                          </a:cubicBezTo>
                          <a:cubicBezTo>
                            <a:pt x="473136" y="609600"/>
                            <a:pt x="609600" y="473136"/>
                            <a:pt x="609600" y="304800"/>
                          </a:cubicBezTo>
                          <a:cubicBezTo>
                            <a:pt x="609411" y="136542"/>
                            <a:pt x="473058" y="189"/>
                            <a:pt x="304800" y="0"/>
                          </a:cubicBezTo>
                          <a:close/>
                        </a:path>
                      </a:pathLst>
                    </a:custGeom>
                    <a:grpFill/>
                    <a:ln w="9525" cap="flat">
                      <a:noFill/>
                      <a:prstDash val="solid"/>
                      <a:miter/>
                    </a:ln>
                  </xdr:spPr>
                  <xdr:txBody>
                    <a:bodyPr rtlCol="0" anchor="ctr"/>
                    <a:lstStyle/>
                    <a:p>
                      <a:endParaRPr lang="en-ID"/>
                    </a:p>
                  </xdr:txBody>
                </xdr:sp>
                <xdr:sp macro="" textlink="">
                  <xdr:nvSpPr>
                    <xdr:cNvPr id="21" name="Freeform: Shape 20">
                      <a:extLst>
                        <a:ext uri="{FF2B5EF4-FFF2-40B4-BE49-F238E27FC236}">
                          <a16:creationId xmlns:a16="http://schemas.microsoft.com/office/drawing/2014/main" id="{FBB0EB11-75AE-4947-6B58-536F704DDA56}"/>
                        </a:ext>
                      </a:extLst>
                    </xdr:cNvPr>
                    <xdr:cNvSpPr/>
                  </xdr:nvSpPr>
                  <xdr:spPr>
                    <a:xfrm>
                      <a:off x="5795010" y="1644014"/>
                      <a:ext cx="295275" cy="295275"/>
                    </a:xfrm>
                    <a:custGeom>
                      <a:avLst/>
                      <a:gdLst>
                        <a:gd name="connsiteX0" fmla="*/ 194939 w 295275"/>
                        <a:gd name="connsiteY0" fmla="*/ 194948 h 295275"/>
                        <a:gd name="connsiteX1" fmla="*/ 35023 w 295275"/>
                        <a:gd name="connsiteY1" fmla="*/ 260366 h 295275"/>
                        <a:gd name="connsiteX2" fmla="*/ 100336 w 295275"/>
                        <a:gd name="connsiteY2" fmla="*/ 102175 h 295275"/>
                        <a:gd name="connsiteX3" fmla="*/ 260252 w 295275"/>
                        <a:gd name="connsiteY3" fmla="*/ 35290 h 295275"/>
                        <a:gd name="connsiteX4" fmla="*/ 85725 w 295275"/>
                        <a:gd name="connsiteY4" fmla="*/ 87630 h 295275"/>
                        <a:gd name="connsiteX5" fmla="*/ 0 w 295275"/>
                        <a:gd name="connsiteY5" fmla="*/ 295275 h 295275"/>
                        <a:gd name="connsiteX6" fmla="*/ 209550 w 295275"/>
                        <a:gd name="connsiteY6" fmla="*/ 209550 h 295275"/>
                        <a:gd name="connsiteX7" fmla="*/ 295275 w 295275"/>
                        <a:gd name="connsiteY7" fmla="*/ 0 h 295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95275" h="295275">
                          <a:moveTo>
                            <a:pt x="194939" y="194948"/>
                          </a:moveTo>
                          <a:lnTo>
                            <a:pt x="35023" y="260366"/>
                          </a:lnTo>
                          <a:lnTo>
                            <a:pt x="100336" y="102175"/>
                          </a:lnTo>
                          <a:lnTo>
                            <a:pt x="260252" y="35290"/>
                          </a:lnTo>
                          <a:close/>
                          <a:moveTo>
                            <a:pt x="85725" y="87630"/>
                          </a:moveTo>
                          <a:lnTo>
                            <a:pt x="0" y="295275"/>
                          </a:lnTo>
                          <a:lnTo>
                            <a:pt x="209550" y="209550"/>
                          </a:lnTo>
                          <a:lnTo>
                            <a:pt x="295275" y="0"/>
                          </a:lnTo>
                          <a:close/>
                        </a:path>
                      </a:pathLst>
                    </a:custGeom>
                    <a:grpFill/>
                    <a:ln w="9525" cap="flat">
                      <a:noFill/>
                      <a:prstDash val="solid"/>
                      <a:miter/>
                    </a:ln>
                  </xdr:spPr>
                  <xdr:txBody>
                    <a:bodyPr rtlCol="0" anchor="ctr"/>
                    <a:lstStyle/>
                    <a:p>
                      <a:endParaRPr lang="en-ID"/>
                    </a:p>
                  </xdr:txBody>
                </xdr:sp>
                <xdr:sp macro="" textlink="">
                  <xdr:nvSpPr>
                    <xdr:cNvPr id="22" name="Freeform: Shape 21">
                      <a:extLst>
                        <a:ext uri="{FF2B5EF4-FFF2-40B4-BE49-F238E27FC236}">
                          <a16:creationId xmlns:a16="http://schemas.microsoft.com/office/drawing/2014/main" id="{918D7416-6865-6750-CD8D-70792F2CDBEF}"/>
                        </a:ext>
                      </a:extLst>
                    </xdr:cNvPr>
                    <xdr:cNvSpPr/>
                  </xdr:nvSpPr>
                  <xdr:spPr>
                    <a:xfrm>
                      <a:off x="5924550" y="1771650"/>
                      <a:ext cx="38100" cy="38100"/>
                    </a:xfrm>
                    <a:custGeom>
                      <a:avLst/>
                      <a:gdLst>
                        <a:gd name="connsiteX0" fmla="*/ 38100 w 38100"/>
                        <a:gd name="connsiteY0" fmla="*/ 19050 h 38100"/>
                        <a:gd name="connsiteX1" fmla="*/ 19050 w 38100"/>
                        <a:gd name="connsiteY1" fmla="*/ 38100 h 38100"/>
                        <a:gd name="connsiteX2" fmla="*/ 0 w 38100"/>
                        <a:gd name="connsiteY2" fmla="*/ 19050 h 38100"/>
                        <a:gd name="connsiteX3" fmla="*/ 19050 w 38100"/>
                        <a:gd name="connsiteY3" fmla="*/ 0 h 38100"/>
                        <a:gd name="connsiteX4" fmla="*/ 38100 w 38100"/>
                        <a:gd name="connsiteY4" fmla="*/ 19050 h 381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8100" h="38100">
                          <a:moveTo>
                            <a:pt x="38100" y="19050"/>
                          </a:moveTo>
                          <a:cubicBezTo>
                            <a:pt x="38100" y="29571"/>
                            <a:pt x="29571" y="38100"/>
                            <a:pt x="19050" y="38100"/>
                          </a:cubicBezTo>
                          <a:cubicBezTo>
                            <a:pt x="8529" y="38100"/>
                            <a:pt x="0" y="29571"/>
                            <a:pt x="0" y="19050"/>
                          </a:cubicBezTo>
                          <a:cubicBezTo>
                            <a:pt x="0" y="8529"/>
                            <a:pt x="8529" y="0"/>
                            <a:pt x="19050" y="0"/>
                          </a:cubicBezTo>
                          <a:cubicBezTo>
                            <a:pt x="29571" y="0"/>
                            <a:pt x="38100" y="8529"/>
                            <a:pt x="38100" y="19050"/>
                          </a:cubicBezTo>
                          <a:close/>
                        </a:path>
                      </a:pathLst>
                    </a:custGeom>
                    <a:grpFill/>
                    <a:ln w="9525" cap="flat">
                      <a:noFill/>
                      <a:prstDash val="solid"/>
                      <a:miter/>
                    </a:ln>
                  </xdr:spPr>
                  <xdr:txBody>
                    <a:bodyPr rtlCol="0" anchor="ctr"/>
                    <a:lstStyle/>
                    <a:p>
                      <a:endParaRPr lang="en-ID"/>
                    </a:p>
                  </xdr:txBody>
                </xdr:sp>
              </xdr:grpSp>
            </xdr:grpSp>
            <xdr:sp macro="" textlink="">
              <xdr:nvSpPr>
                <xdr:cNvPr id="16" name="Rectangle: Rounded Corners 15">
                  <a:extLst>
                    <a:ext uri="{FF2B5EF4-FFF2-40B4-BE49-F238E27FC236}">
                      <a16:creationId xmlns:a16="http://schemas.microsoft.com/office/drawing/2014/main" id="{E60439D8-9E9D-D4BC-941F-5E9375B89B53}"/>
                    </a:ext>
                  </a:extLst>
                </xdr:cNvPr>
                <xdr:cNvSpPr/>
              </xdr:nvSpPr>
              <xdr:spPr>
                <a:xfrm>
                  <a:off x="11382375" y="257175"/>
                  <a:ext cx="180000" cy="28800"/>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17" name="TextBox 16">
                  <a:hlinkClick xmlns:r="http://schemas.openxmlformats.org/officeDocument/2006/relationships" r:id="rId7" tooltip="Project Status"/>
                  <a:extLst>
                    <a:ext uri="{FF2B5EF4-FFF2-40B4-BE49-F238E27FC236}">
                      <a16:creationId xmlns:a16="http://schemas.microsoft.com/office/drawing/2014/main" id="{E3BE5F79-53BD-8EFC-E8D6-5CBB19262904}"/>
                    </a:ext>
                  </a:extLst>
                </xdr:cNvPr>
                <xdr:cNvSpPr txBox="1"/>
              </xdr:nvSpPr>
              <xdr:spPr>
                <a:xfrm>
                  <a:off x="11646177"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Measurement</a:t>
                  </a:r>
                </a:p>
              </xdr:txBody>
            </xdr:sp>
          </xdr:grpSp>
          <xdr:pic>
            <xdr:nvPicPr>
              <xdr:cNvPr id="9" name="Picture 8">
                <a:hlinkClick xmlns:r="http://schemas.openxmlformats.org/officeDocument/2006/relationships" r:id="rId8" tooltip="Dashboard"/>
                <a:extLst>
                  <a:ext uri="{FF2B5EF4-FFF2-40B4-BE49-F238E27FC236}">
                    <a16:creationId xmlns:a16="http://schemas.microsoft.com/office/drawing/2014/main" id="{DB1F5E04-3E7D-EA13-87C5-BC433224414A}"/>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l="8016" t="35915" r="8861" b="35651"/>
              <a:stretch/>
            </xdr:blipFill>
            <xdr:spPr>
              <a:xfrm>
                <a:off x="123825" y="19050"/>
                <a:ext cx="1876426" cy="361950"/>
              </a:xfrm>
              <a:prstGeom prst="rect">
                <a:avLst/>
              </a:prstGeom>
            </xdr:spPr>
          </xdr:pic>
        </xdr:grpSp>
        <xdr:sp macro="" textlink="">
          <xdr:nvSpPr>
            <xdr:cNvPr id="7" name="Rectangle: Rounded Corners 6">
              <a:extLst>
                <a:ext uri="{FF2B5EF4-FFF2-40B4-BE49-F238E27FC236}">
                  <a16:creationId xmlns:a16="http://schemas.microsoft.com/office/drawing/2014/main" id="{04FA4C90-6444-4106-A004-88939268690C}"/>
                </a:ext>
              </a:extLst>
            </xdr:cNvPr>
            <xdr:cNvSpPr/>
          </xdr:nvSpPr>
          <xdr:spPr>
            <a:xfrm>
              <a:off x="11744325" y="276225"/>
              <a:ext cx="180000" cy="288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grpSp>
      <xdr:pic>
        <xdr:nvPicPr>
          <xdr:cNvPr id="5" name="Graphic 4" descr="Compass outline">
            <a:extLst>
              <a:ext uri="{FF2B5EF4-FFF2-40B4-BE49-F238E27FC236}">
                <a16:creationId xmlns:a16="http://schemas.microsoft.com/office/drawing/2014/main" id="{6C05D4C7-0EBD-4CA5-236F-02B5791194AC}"/>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838701" y="38101"/>
            <a:ext cx="266700" cy="266700"/>
          </a:xfrm>
          <a:prstGeom prst="rect">
            <a:avLst/>
          </a:prstGeom>
        </xdr:spPr>
      </xdr:pic>
    </xdr:grpSp>
    <xdr:clientData/>
  </xdr:twoCellAnchor>
  <xdr:twoCellAnchor editAs="absolute">
    <xdr:from>
      <xdr:col>1</xdr:col>
      <xdr:colOff>161925</xdr:colOff>
      <xdr:row>3</xdr:row>
      <xdr:rowOff>9525</xdr:rowOff>
    </xdr:from>
    <xdr:to>
      <xdr:col>11</xdr:col>
      <xdr:colOff>419100</xdr:colOff>
      <xdr:row>4</xdr:row>
      <xdr:rowOff>133350</xdr:rowOff>
    </xdr:to>
    <xdr:grpSp>
      <xdr:nvGrpSpPr>
        <xdr:cNvPr id="26" name="Group 25">
          <a:extLst>
            <a:ext uri="{FF2B5EF4-FFF2-40B4-BE49-F238E27FC236}">
              <a16:creationId xmlns:a16="http://schemas.microsoft.com/office/drawing/2014/main" id="{A7B69FD1-A134-1828-F914-6CE4667E783F}"/>
            </a:ext>
          </a:extLst>
        </xdr:cNvPr>
        <xdr:cNvGrpSpPr/>
      </xdr:nvGrpSpPr>
      <xdr:grpSpPr>
        <a:xfrm>
          <a:off x="771525" y="581025"/>
          <a:ext cx="7162800" cy="314325"/>
          <a:chOff x="771525" y="581025"/>
          <a:chExt cx="7162800" cy="314325"/>
        </a:xfrm>
      </xdr:grpSpPr>
      <xdr:grpSp>
        <xdr:nvGrpSpPr>
          <xdr:cNvPr id="38" name="Group 37">
            <a:hlinkClick xmlns:r="http://schemas.openxmlformats.org/officeDocument/2006/relationships" r:id="rId7"/>
            <a:extLst>
              <a:ext uri="{FF2B5EF4-FFF2-40B4-BE49-F238E27FC236}">
                <a16:creationId xmlns:a16="http://schemas.microsoft.com/office/drawing/2014/main" id="{AFD66B22-CCD1-DBC8-928F-6239EB16A532}"/>
              </a:ext>
            </a:extLst>
          </xdr:cNvPr>
          <xdr:cNvGrpSpPr/>
        </xdr:nvGrpSpPr>
        <xdr:grpSpPr>
          <a:xfrm>
            <a:off x="771525" y="581025"/>
            <a:ext cx="1247775" cy="314325"/>
            <a:chOff x="190500" y="552450"/>
            <a:chExt cx="1247775" cy="314325"/>
          </a:xfrm>
        </xdr:grpSpPr>
        <xdr:sp macro="" textlink="">
          <xdr:nvSpPr>
            <xdr:cNvPr id="49" name="Rectangle: Rounded Corners 48">
              <a:extLst>
                <a:ext uri="{FF2B5EF4-FFF2-40B4-BE49-F238E27FC236}">
                  <a16:creationId xmlns:a16="http://schemas.microsoft.com/office/drawing/2014/main" id="{9A1E16A9-780C-023A-3F0A-0898A82BB8BE}"/>
                </a:ext>
              </a:extLst>
            </xdr:cNvPr>
            <xdr:cNvSpPr/>
          </xdr:nvSpPr>
          <xdr:spPr>
            <a:xfrm>
              <a:off x="190500"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50" name="TextBox 49">
              <a:extLst>
                <a:ext uri="{FF2B5EF4-FFF2-40B4-BE49-F238E27FC236}">
                  <a16:creationId xmlns:a16="http://schemas.microsoft.com/office/drawing/2014/main" id="{2AE83FF7-2030-CA78-4A11-C416D1D4F4DE}"/>
                </a:ext>
              </a:extLst>
            </xdr:cNvPr>
            <xdr:cNvSpPr txBox="1"/>
          </xdr:nvSpPr>
          <xdr:spPr>
            <a:xfrm>
              <a:off x="338137"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solidFill>
                    <a:schemeClr val="bg1"/>
                  </a:solidFill>
                  <a:latin typeface="Avenir Next LT Pro" panose="020B0504020202020204" pitchFamily="34" charset="0"/>
                </a:rPr>
                <a:t>Persediaan</a:t>
              </a:r>
            </a:p>
          </xdr:txBody>
        </xdr:sp>
      </xdr:grpSp>
      <xdr:grpSp>
        <xdr:nvGrpSpPr>
          <xdr:cNvPr id="39" name="Group 38">
            <a:hlinkClick xmlns:r="http://schemas.openxmlformats.org/officeDocument/2006/relationships" r:id="rId12"/>
            <a:extLst>
              <a:ext uri="{FF2B5EF4-FFF2-40B4-BE49-F238E27FC236}">
                <a16:creationId xmlns:a16="http://schemas.microsoft.com/office/drawing/2014/main" id="{B977B22F-884C-946E-AF47-FB9F6425F3AB}"/>
              </a:ext>
            </a:extLst>
          </xdr:cNvPr>
          <xdr:cNvGrpSpPr/>
        </xdr:nvGrpSpPr>
        <xdr:grpSpPr>
          <a:xfrm>
            <a:off x="2247900" y="581025"/>
            <a:ext cx="1247775" cy="314325"/>
            <a:chOff x="1666875" y="552450"/>
            <a:chExt cx="1247775" cy="314325"/>
          </a:xfrm>
        </xdr:grpSpPr>
        <xdr:sp macro="" textlink="">
          <xdr:nvSpPr>
            <xdr:cNvPr id="47" name="Rectangle: Rounded Corners 46">
              <a:extLst>
                <a:ext uri="{FF2B5EF4-FFF2-40B4-BE49-F238E27FC236}">
                  <a16:creationId xmlns:a16="http://schemas.microsoft.com/office/drawing/2014/main" id="{816C61B7-BDDF-E8B7-CB1A-3CCF0E50B8A4}"/>
                </a:ext>
              </a:extLst>
            </xdr:cNvPr>
            <xdr:cNvSpPr/>
          </xdr:nvSpPr>
          <xdr:spPr>
            <a:xfrm>
              <a:off x="16668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8" name="TextBox 47">
              <a:extLst>
                <a:ext uri="{FF2B5EF4-FFF2-40B4-BE49-F238E27FC236}">
                  <a16:creationId xmlns:a16="http://schemas.microsoft.com/office/drawing/2014/main" id="{6C98ACBF-D047-F49A-8F66-A8A5E90939DB}"/>
                </a:ext>
              </a:extLst>
            </xdr:cNvPr>
            <xdr:cNvSpPr txBox="1"/>
          </xdr:nvSpPr>
          <xdr:spPr>
            <a:xfrm>
              <a:off x="1814512"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100" b="1">
                  <a:solidFill>
                    <a:schemeClr val="bg1"/>
                  </a:solidFill>
                  <a:latin typeface="Avenir Next LT Pro" panose="020B0504020202020204" pitchFamily="34" charset="0"/>
                </a:rPr>
                <a:t>BTK</a:t>
              </a:r>
            </a:p>
          </xdr:txBody>
        </xdr:sp>
      </xdr:grpSp>
      <xdr:grpSp>
        <xdr:nvGrpSpPr>
          <xdr:cNvPr id="40" name="Group 39">
            <a:extLst>
              <a:ext uri="{FF2B5EF4-FFF2-40B4-BE49-F238E27FC236}">
                <a16:creationId xmlns:a16="http://schemas.microsoft.com/office/drawing/2014/main" id="{DCF292F0-04A5-1159-C21E-C6E468456472}"/>
              </a:ext>
            </a:extLst>
          </xdr:cNvPr>
          <xdr:cNvGrpSpPr/>
        </xdr:nvGrpSpPr>
        <xdr:grpSpPr>
          <a:xfrm>
            <a:off x="3743325" y="581025"/>
            <a:ext cx="2724150" cy="314325"/>
            <a:chOff x="3162300" y="552450"/>
            <a:chExt cx="2724150" cy="314325"/>
          </a:xfrm>
        </xdr:grpSpPr>
        <xdr:grpSp>
          <xdr:nvGrpSpPr>
            <xdr:cNvPr id="41" name="Group 40">
              <a:hlinkClick xmlns:r="http://schemas.openxmlformats.org/officeDocument/2006/relationships" r:id="rId13"/>
              <a:extLst>
                <a:ext uri="{FF2B5EF4-FFF2-40B4-BE49-F238E27FC236}">
                  <a16:creationId xmlns:a16="http://schemas.microsoft.com/office/drawing/2014/main" id="{3381CBFD-6EC5-CAB6-C041-58B17BE7D66E}"/>
                </a:ext>
              </a:extLst>
            </xdr:cNvPr>
            <xdr:cNvGrpSpPr/>
          </xdr:nvGrpSpPr>
          <xdr:grpSpPr>
            <a:xfrm>
              <a:off x="3162300" y="552450"/>
              <a:ext cx="1247775" cy="314325"/>
              <a:chOff x="3162300" y="552450"/>
              <a:chExt cx="1247775" cy="314325"/>
            </a:xfrm>
          </xdr:grpSpPr>
          <xdr:sp macro="" textlink="">
            <xdr:nvSpPr>
              <xdr:cNvPr id="45" name="Rectangle: Rounded Corners 44">
                <a:extLst>
                  <a:ext uri="{FF2B5EF4-FFF2-40B4-BE49-F238E27FC236}">
                    <a16:creationId xmlns:a16="http://schemas.microsoft.com/office/drawing/2014/main" id="{4041E173-1C81-EBEC-40D6-FB54DEBC5347}"/>
                  </a:ext>
                </a:extLst>
              </xdr:cNvPr>
              <xdr:cNvSpPr/>
            </xdr:nvSpPr>
            <xdr:spPr>
              <a:xfrm>
                <a:off x="3162300"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6" name="TextBox 45">
                <a:extLst>
                  <a:ext uri="{FF2B5EF4-FFF2-40B4-BE49-F238E27FC236}">
                    <a16:creationId xmlns:a16="http://schemas.microsoft.com/office/drawing/2014/main" id="{84DA825E-5D6B-2ECD-3AE8-4E6C63688F23}"/>
                  </a:ext>
                </a:extLst>
              </xdr:cNvPr>
              <xdr:cNvSpPr txBox="1"/>
            </xdr:nvSpPr>
            <xdr:spPr>
              <a:xfrm>
                <a:off x="3309937" y="576262"/>
                <a:ext cx="985838"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solidFill>
                      <a:schemeClr val="bg1"/>
                    </a:solidFill>
                    <a:latin typeface="Avenir Next LT Pro" panose="020B0504020202020204" pitchFamily="34" charset="0"/>
                  </a:rPr>
                  <a:t>Penyusutan</a:t>
                </a:r>
              </a:p>
            </xdr:txBody>
          </xdr:sp>
        </xdr:grpSp>
        <xdr:grpSp>
          <xdr:nvGrpSpPr>
            <xdr:cNvPr id="42" name="Group 41">
              <a:extLst>
                <a:ext uri="{FF2B5EF4-FFF2-40B4-BE49-F238E27FC236}">
                  <a16:creationId xmlns:a16="http://schemas.microsoft.com/office/drawing/2014/main" id="{440F2C98-CFE4-13DF-895D-2665ABE7376E}"/>
                </a:ext>
              </a:extLst>
            </xdr:cNvPr>
            <xdr:cNvGrpSpPr/>
          </xdr:nvGrpSpPr>
          <xdr:grpSpPr>
            <a:xfrm>
              <a:off x="4638675" y="552450"/>
              <a:ext cx="1247775" cy="314325"/>
              <a:chOff x="4638675" y="552450"/>
              <a:chExt cx="1247775" cy="314325"/>
            </a:xfrm>
          </xdr:grpSpPr>
          <xdr:sp macro="" textlink="">
            <xdr:nvSpPr>
              <xdr:cNvPr id="43" name="Rectangle: Rounded Corners 42">
                <a:extLst>
                  <a:ext uri="{FF2B5EF4-FFF2-40B4-BE49-F238E27FC236}">
                    <a16:creationId xmlns:a16="http://schemas.microsoft.com/office/drawing/2014/main" id="{1F1A4276-B9E5-FD03-820D-75B20EDCFBAD}"/>
                  </a:ext>
                </a:extLst>
              </xdr:cNvPr>
              <xdr:cNvSpPr/>
            </xdr:nvSpPr>
            <xdr:spPr>
              <a:xfrm>
                <a:off x="46386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4" name="TextBox 43">
                <a:hlinkClick xmlns:r="http://schemas.openxmlformats.org/officeDocument/2006/relationships" r:id="rId14"/>
                <a:extLst>
                  <a:ext uri="{FF2B5EF4-FFF2-40B4-BE49-F238E27FC236}">
                    <a16:creationId xmlns:a16="http://schemas.microsoft.com/office/drawing/2014/main" id="{F44CB8A4-311E-CC2D-773F-7C097A6FACCA}"/>
                  </a:ext>
                </a:extLst>
              </xdr:cNvPr>
              <xdr:cNvSpPr txBox="1"/>
            </xdr:nvSpPr>
            <xdr:spPr>
              <a:xfrm>
                <a:off x="4786312" y="576262"/>
                <a:ext cx="1081088"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900" b="1">
                    <a:solidFill>
                      <a:schemeClr val="bg1"/>
                    </a:solidFill>
                    <a:latin typeface="Avenir Next LT Pro" panose="020B0504020202020204" pitchFamily="34" charset="0"/>
                  </a:rPr>
                  <a:t>Aging</a:t>
                </a:r>
                <a:r>
                  <a:rPr lang="en-ID" sz="900" b="1" baseline="0">
                    <a:solidFill>
                      <a:schemeClr val="bg1"/>
                    </a:solidFill>
                    <a:latin typeface="Avenir Next LT Pro" panose="020B0504020202020204" pitchFamily="34" charset="0"/>
                  </a:rPr>
                  <a:t> Schedule</a:t>
                </a:r>
                <a:endParaRPr lang="en-ID" sz="900" b="1">
                  <a:solidFill>
                    <a:schemeClr val="bg1"/>
                  </a:solidFill>
                  <a:latin typeface="Avenir Next LT Pro" panose="020B0504020202020204" pitchFamily="34" charset="0"/>
                </a:endParaRPr>
              </a:p>
            </xdr:txBody>
          </xdr:sp>
        </xdr:grpSp>
      </xdr:grpSp>
      <xdr:grpSp>
        <xdr:nvGrpSpPr>
          <xdr:cNvPr id="23" name="Group 22">
            <a:hlinkClick xmlns:r="http://schemas.openxmlformats.org/officeDocument/2006/relationships" r:id="rId12"/>
            <a:extLst>
              <a:ext uri="{FF2B5EF4-FFF2-40B4-BE49-F238E27FC236}">
                <a16:creationId xmlns:a16="http://schemas.microsoft.com/office/drawing/2014/main" id="{4D861303-BE91-B594-3B5A-B1CB48898323}"/>
              </a:ext>
            </a:extLst>
          </xdr:cNvPr>
          <xdr:cNvGrpSpPr/>
        </xdr:nvGrpSpPr>
        <xdr:grpSpPr>
          <a:xfrm>
            <a:off x="6686550" y="581025"/>
            <a:ext cx="1247775" cy="314325"/>
            <a:chOff x="1666875" y="552450"/>
            <a:chExt cx="1247775" cy="314325"/>
          </a:xfrm>
        </xdr:grpSpPr>
        <xdr:sp macro="" textlink="">
          <xdr:nvSpPr>
            <xdr:cNvPr id="24" name="Rectangle: Rounded Corners 23">
              <a:extLst>
                <a:ext uri="{FF2B5EF4-FFF2-40B4-BE49-F238E27FC236}">
                  <a16:creationId xmlns:a16="http://schemas.microsoft.com/office/drawing/2014/main" id="{2F5DDC45-FDA2-614F-39C5-68AF60DB2C63}"/>
                </a:ext>
              </a:extLst>
            </xdr:cNvPr>
            <xdr:cNvSpPr/>
          </xdr:nvSpPr>
          <xdr:spPr>
            <a:xfrm>
              <a:off x="16668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25" name="TextBox 24">
              <a:hlinkClick xmlns:r="http://schemas.openxmlformats.org/officeDocument/2006/relationships" r:id="rId15" tooltip="Obligasi"/>
              <a:extLst>
                <a:ext uri="{FF2B5EF4-FFF2-40B4-BE49-F238E27FC236}">
                  <a16:creationId xmlns:a16="http://schemas.microsoft.com/office/drawing/2014/main" id="{F2B695B3-436B-A6F9-79B9-D0F4B55CE9DE}"/>
                </a:ext>
              </a:extLst>
            </xdr:cNvPr>
            <xdr:cNvSpPr txBox="1"/>
          </xdr:nvSpPr>
          <xdr:spPr>
            <a:xfrm>
              <a:off x="1814512"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100" b="1">
                  <a:solidFill>
                    <a:schemeClr val="bg1"/>
                  </a:solidFill>
                  <a:latin typeface="Avenir Next LT Pro" panose="020B0504020202020204" pitchFamily="34" charset="0"/>
                </a:rPr>
                <a:t>Liabilities</a:t>
              </a:r>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688976</xdr:colOff>
      <xdr:row>2</xdr:row>
      <xdr:rowOff>0</xdr:rowOff>
    </xdr:to>
    <xdr:grpSp>
      <xdr:nvGrpSpPr>
        <xdr:cNvPr id="2" name="Group 1">
          <a:extLst>
            <a:ext uri="{FF2B5EF4-FFF2-40B4-BE49-F238E27FC236}">
              <a16:creationId xmlns:a16="http://schemas.microsoft.com/office/drawing/2014/main" id="{3815C73D-722E-446C-9166-4124F286921B}"/>
            </a:ext>
          </a:extLst>
        </xdr:cNvPr>
        <xdr:cNvGrpSpPr/>
      </xdr:nvGrpSpPr>
      <xdr:grpSpPr>
        <a:xfrm>
          <a:off x="0" y="0"/>
          <a:ext cx="13557251" cy="381000"/>
          <a:chOff x="0" y="0"/>
          <a:chExt cx="13554076" cy="381000"/>
        </a:xfrm>
      </xdr:grpSpPr>
      <xdr:grpSp>
        <xdr:nvGrpSpPr>
          <xdr:cNvPr id="3" name="Group 2">
            <a:extLst>
              <a:ext uri="{FF2B5EF4-FFF2-40B4-BE49-F238E27FC236}">
                <a16:creationId xmlns:a16="http://schemas.microsoft.com/office/drawing/2014/main" id="{FE14FF6B-6526-FC45-CB17-F3C03C87883F}"/>
              </a:ext>
            </a:extLst>
          </xdr:cNvPr>
          <xdr:cNvGrpSpPr/>
        </xdr:nvGrpSpPr>
        <xdr:grpSpPr>
          <a:xfrm>
            <a:off x="0" y="0"/>
            <a:ext cx="13554076" cy="381000"/>
            <a:chOff x="0" y="0"/>
            <a:chExt cx="13554076" cy="381000"/>
          </a:xfrm>
        </xdr:grpSpPr>
        <xdr:grpSp>
          <xdr:nvGrpSpPr>
            <xdr:cNvPr id="5" name="Group 4">
              <a:extLst>
                <a:ext uri="{FF2B5EF4-FFF2-40B4-BE49-F238E27FC236}">
                  <a16:creationId xmlns:a16="http://schemas.microsoft.com/office/drawing/2014/main" id="{9FF8FAB9-632E-1A20-AD29-B66CC1D6A01F}"/>
                </a:ext>
              </a:extLst>
            </xdr:cNvPr>
            <xdr:cNvGrpSpPr/>
          </xdr:nvGrpSpPr>
          <xdr:grpSpPr>
            <a:xfrm>
              <a:off x="0" y="0"/>
              <a:ext cx="13554076" cy="381000"/>
              <a:chOff x="0" y="0"/>
              <a:chExt cx="13554076" cy="381000"/>
            </a:xfrm>
          </xdr:grpSpPr>
          <xdr:grpSp>
            <xdr:nvGrpSpPr>
              <xdr:cNvPr id="7" name="Group 6">
                <a:extLst>
                  <a:ext uri="{FF2B5EF4-FFF2-40B4-BE49-F238E27FC236}">
                    <a16:creationId xmlns:a16="http://schemas.microsoft.com/office/drawing/2014/main" id="{2D9C728C-76D5-0A4E-EEA5-685EDBA33AD6}"/>
                  </a:ext>
                </a:extLst>
              </xdr:cNvPr>
              <xdr:cNvGrpSpPr/>
            </xdr:nvGrpSpPr>
            <xdr:grpSpPr>
              <a:xfrm>
                <a:off x="0" y="0"/>
                <a:ext cx="13554076" cy="360000"/>
                <a:chOff x="0" y="0"/>
                <a:chExt cx="13554076" cy="352424"/>
              </a:xfr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2700000" scaled="1"/>
                <a:tileRect/>
              </a:gradFill>
              <a:effectLst>
                <a:outerShdw blurRad="50800" dist="38100" dir="5400000" algn="t" rotWithShape="0">
                  <a:prstClr val="black">
                    <a:alpha val="40000"/>
                  </a:prstClr>
                </a:outerShdw>
              </a:effectLst>
            </xdr:grpSpPr>
            <xdr:sp macro="" textlink="">
              <xdr:nvSpPr>
                <xdr:cNvPr id="9" name="Rectangle 8">
                  <a:extLst>
                    <a:ext uri="{FF2B5EF4-FFF2-40B4-BE49-F238E27FC236}">
                      <a16:creationId xmlns:a16="http://schemas.microsoft.com/office/drawing/2014/main" id="{7B2D7705-66F1-39AA-8FEA-CE3318EF35FA}"/>
                    </a:ext>
                  </a:extLst>
                </xdr:cNvPr>
                <xdr:cNvSpPr/>
              </xdr:nvSpPr>
              <xdr:spPr>
                <a:xfrm>
                  <a:off x="0" y="0"/>
                  <a:ext cx="13554076" cy="352424"/>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10" name="TextBox 9">
                  <a:hlinkClick xmlns:r="http://schemas.openxmlformats.org/officeDocument/2006/relationships" r:id="rId1" tooltip="Reports"/>
                  <a:extLst>
                    <a:ext uri="{FF2B5EF4-FFF2-40B4-BE49-F238E27FC236}">
                      <a16:creationId xmlns:a16="http://schemas.microsoft.com/office/drawing/2014/main" id="{21886AD6-FDFD-FABF-1F0E-580B0ACDFB9D}"/>
                    </a:ext>
                  </a:extLst>
                </xdr:cNvPr>
                <xdr:cNvSpPr txBox="1"/>
              </xdr:nvSpPr>
              <xdr:spPr>
                <a:xfrm>
                  <a:off x="10187147" y="37499"/>
                  <a:ext cx="986167"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Reports</a:t>
                  </a:r>
                </a:p>
              </xdr:txBody>
            </xdr:sp>
            <xdr:sp macro="" textlink="">
              <xdr:nvSpPr>
                <xdr:cNvPr id="11" name="TextBox 10">
                  <a:hlinkClick xmlns:r="http://schemas.openxmlformats.org/officeDocument/2006/relationships" r:id="rId2" tooltip="Project Status"/>
                  <a:extLst>
                    <a:ext uri="{FF2B5EF4-FFF2-40B4-BE49-F238E27FC236}">
                      <a16:creationId xmlns:a16="http://schemas.microsoft.com/office/drawing/2014/main" id="{0ED5CBAE-D6CC-B5CF-7C03-5DFE08AD8DD4}"/>
                    </a:ext>
                  </a:extLst>
                </xdr:cNvPr>
                <xdr:cNvSpPr txBox="1"/>
              </xdr:nvSpPr>
              <xdr:spPr>
                <a:xfrm>
                  <a:off x="10855602"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Dashboard</a:t>
                  </a:r>
                </a:p>
              </xdr:txBody>
            </xdr:sp>
            <xdr:sp macro="" textlink="">
              <xdr:nvSpPr>
                <xdr:cNvPr id="12" name="TextBox 11">
                  <a:hlinkClick xmlns:r="http://schemas.openxmlformats.org/officeDocument/2006/relationships" r:id="rId3" tooltip="Income Sources"/>
                  <a:extLst>
                    <a:ext uri="{FF2B5EF4-FFF2-40B4-BE49-F238E27FC236}">
                      <a16:creationId xmlns:a16="http://schemas.microsoft.com/office/drawing/2014/main" id="{1D2E54A0-6AEA-11F2-42A0-6A0584FC8AE6}"/>
                    </a:ext>
                  </a:extLst>
                </xdr:cNvPr>
                <xdr:cNvSpPr txBox="1"/>
              </xdr:nvSpPr>
              <xdr:spPr>
                <a:xfrm>
                  <a:off x="7702827" y="28575"/>
                  <a:ext cx="1212640"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Genenral</a:t>
                  </a:r>
                  <a:r>
                    <a:rPr lang="en-ID" sz="1100" kern="1200" baseline="0">
                      <a:solidFill>
                        <a:schemeClr val="bg1"/>
                      </a:solidFill>
                      <a:latin typeface="Avenir Next LT Pro" panose="020B0504020202020204" pitchFamily="34" charset="0"/>
                    </a:rPr>
                    <a:t> Journal</a:t>
                  </a:r>
                  <a:endParaRPr lang="en-ID" sz="1100" kern="1200">
                    <a:solidFill>
                      <a:schemeClr val="bg1"/>
                    </a:solidFill>
                    <a:latin typeface="Avenir Next LT Pro" panose="020B0504020202020204" pitchFamily="34" charset="0"/>
                  </a:endParaRPr>
                </a:p>
              </xdr:txBody>
            </xdr:sp>
            <xdr:sp macro="" textlink="">
              <xdr:nvSpPr>
                <xdr:cNvPr id="13" name="TextBox 12">
                  <a:hlinkClick xmlns:r="http://schemas.openxmlformats.org/officeDocument/2006/relationships" r:id="rId4" tooltip="RAPBO"/>
                  <a:extLst>
                    <a:ext uri="{FF2B5EF4-FFF2-40B4-BE49-F238E27FC236}">
                      <a16:creationId xmlns:a16="http://schemas.microsoft.com/office/drawing/2014/main" id="{5305C7E4-DF15-4C15-B246-8108E0DCA773}"/>
                    </a:ext>
                  </a:extLst>
                </xdr:cNvPr>
                <xdr:cNvSpPr txBox="1"/>
              </xdr:nvSpPr>
              <xdr:spPr>
                <a:xfrm>
                  <a:off x="9045431" y="28575"/>
                  <a:ext cx="1193944"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General</a:t>
                  </a:r>
                  <a:r>
                    <a:rPr lang="en-ID" sz="1100" kern="1200" baseline="0">
                      <a:solidFill>
                        <a:schemeClr val="bg1"/>
                      </a:solidFill>
                      <a:latin typeface="Avenir Next LT Pro" panose="020B0504020202020204" pitchFamily="34" charset="0"/>
                    </a:rPr>
                    <a:t> Ledger</a:t>
                  </a:r>
                  <a:endParaRPr lang="en-ID" sz="1100" kern="1200">
                    <a:solidFill>
                      <a:schemeClr val="bg1"/>
                    </a:solidFill>
                    <a:latin typeface="Avenir Next LT Pro" panose="020B0504020202020204" pitchFamily="34" charset="0"/>
                  </a:endParaRPr>
                </a:p>
              </xdr:txBody>
            </xdr:sp>
            <xdr:grpSp>
              <xdr:nvGrpSpPr>
                <xdr:cNvPr id="14" name="Group 13">
                  <a:extLst>
                    <a:ext uri="{FF2B5EF4-FFF2-40B4-BE49-F238E27FC236}">
                      <a16:creationId xmlns:a16="http://schemas.microsoft.com/office/drawing/2014/main" id="{9CE92738-C4C3-427A-BFF2-11E045DDA6E8}"/>
                    </a:ext>
                  </a:extLst>
                </xdr:cNvPr>
                <xdr:cNvGrpSpPr/>
              </xdr:nvGrpSpPr>
              <xdr:grpSpPr>
                <a:xfrm>
                  <a:off x="5016777" y="28575"/>
                  <a:ext cx="802998" cy="263405"/>
                  <a:chOff x="5016777" y="47625"/>
                  <a:chExt cx="802998" cy="263405"/>
                </a:xfrm>
                <a:grpFill/>
              </xdr:grpSpPr>
              <xdr:sp macro="" textlink="">
                <xdr:nvSpPr>
                  <xdr:cNvPr id="17" name="TextBox 16">
                    <a:hlinkClick xmlns:r="http://schemas.openxmlformats.org/officeDocument/2006/relationships" r:id="rId5" tooltip="Urbane Stitch Store"/>
                    <a:extLst>
                      <a:ext uri="{FF2B5EF4-FFF2-40B4-BE49-F238E27FC236}">
                        <a16:creationId xmlns:a16="http://schemas.microsoft.com/office/drawing/2014/main" id="{D74779E8-7282-8BF8-749F-59A87DD94190}"/>
                      </a:ext>
                    </a:extLst>
                  </xdr:cNvPr>
                  <xdr:cNvSpPr txBox="1"/>
                </xdr:nvSpPr>
                <xdr:spPr>
                  <a:xfrm>
                    <a:off x="5016777" y="47625"/>
                    <a:ext cx="659861"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Browse</a:t>
                    </a:r>
                  </a:p>
                </xdr:txBody>
              </xdr:sp>
              <xdr:grpSp>
                <xdr:nvGrpSpPr>
                  <xdr:cNvPr id="18" name="Graphic 10" descr="Compass outline">
                    <a:extLst>
                      <a:ext uri="{FF2B5EF4-FFF2-40B4-BE49-F238E27FC236}">
                        <a16:creationId xmlns:a16="http://schemas.microsoft.com/office/drawing/2014/main" id="{35BAEAAC-530C-5495-635A-C1A78406C802}"/>
                      </a:ext>
                    </a:extLst>
                  </xdr:cNvPr>
                  <xdr:cNvGrpSpPr/>
                </xdr:nvGrpSpPr>
                <xdr:grpSpPr>
                  <a:xfrm>
                    <a:off x="5629275" y="85725"/>
                    <a:ext cx="190500" cy="190500"/>
                    <a:chOff x="5638800" y="1485900"/>
                    <a:chExt cx="609600" cy="609600"/>
                  </a:xfrm>
                  <a:grpFill/>
                </xdr:grpSpPr>
                <xdr:sp macro="" textlink="">
                  <xdr:nvSpPr>
                    <xdr:cNvPr id="19" name="Freeform: Shape 18">
                      <a:extLst>
                        <a:ext uri="{FF2B5EF4-FFF2-40B4-BE49-F238E27FC236}">
                          <a16:creationId xmlns:a16="http://schemas.microsoft.com/office/drawing/2014/main" id="{77B64A1F-B091-9AC9-46A7-241C39CEED54}"/>
                        </a:ext>
                      </a:extLst>
                    </xdr:cNvPr>
                    <xdr:cNvSpPr/>
                  </xdr:nvSpPr>
                  <xdr:spPr>
                    <a:xfrm>
                      <a:off x="5638800" y="1485900"/>
                      <a:ext cx="609600" cy="609600"/>
                    </a:xfrm>
                    <a:custGeom>
                      <a:avLst/>
                      <a:gdLst>
                        <a:gd name="connsiteX0" fmla="*/ 304800 w 609600"/>
                        <a:gd name="connsiteY0" fmla="*/ 19050 h 609600"/>
                        <a:gd name="connsiteX1" fmla="*/ 590550 w 609600"/>
                        <a:gd name="connsiteY1" fmla="*/ 304800 h 609600"/>
                        <a:gd name="connsiteX2" fmla="*/ 304800 w 609600"/>
                        <a:gd name="connsiteY2" fmla="*/ 590550 h 609600"/>
                        <a:gd name="connsiteX3" fmla="*/ 19050 w 609600"/>
                        <a:gd name="connsiteY3" fmla="*/ 304800 h 609600"/>
                        <a:gd name="connsiteX4" fmla="*/ 304800 w 609600"/>
                        <a:gd name="connsiteY4" fmla="*/ 19050 h 609600"/>
                        <a:gd name="connsiteX5" fmla="*/ 304800 w 609600"/>
                        <a:gd name="connsiteY5" fmla="*/ 0 h 609600"/>
                        <a:gd name="connsiteX6" fmla="*/ 0 w 609600"/>
                        <a:gd name="connsiteY6" fmla="*/ 304800 h 609600"/>
                        <a:gd name="connsiteX7" fmla="*/ 304800 w 609600"/>
                        <a:gd name="connsiteY7" fmla="*/ 609600 h 609600"/>
                        <a:gd name="connsiteX8" fmla="*/ 609600 w 609600"/>
                        <a:gd name="connsiteY8" fmla="*/ 304800 h 609600"/>
                        <a:gd name="connsiteX9" fmla="*/ 304800 w 609600"/>
                        <a:gd name="connsiteY9" fmla="*/ 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609600" h="609600">
                          <a:moveTo>
                            <a:pt x="304800" y="19050"/>
                          </a:moveTo>
                          <a:cubicBezTo>
                            <a:pt x="462615" y="19050"/>
                            <a:pt x="590550" y="146985"/>
                            <a:pt x="590550" y="304800"/>
                          </a:cubicBezTo>
                          <a:cubicBezTo>
                            <a:pt x="590550" y="462615"/>
                            <a:pt x="462615" y="590550"/>
                            <a:pt x="304800" y="590550"/>
                          </a:cubicBezTo>
                          <a:cubicBezTo>
                            <a:pt x="146985" y="590550"/>
                            <a:pt x="19050" y="462615"/>
                            <a:pt x="19050" y="304800"/>
                          </a:cubicBezTo>
                          <a:cubicBezTo>
                            <a:pt x="19228" y="147058"/>
                            <a:pt x="147058" y="19228"/>
                            <a:pt x="304800" y="19050"/>
                          </a:cubicBezTo>
                          <a:moveTo>
                            <a:pt x="304800" y="0"/>
                          </a:moveTo>
                          <a:cubicBezTo>
                            <a:pt x="136464" y="0"/>
                            <a:pt x="0" y="136464"/>
                            <a:pt x="0" y="304800"/>
                          </a:cubicBezTo>
                          <a:cubicBezTo>
                            <a:pt x="0" y="473136"/>
                            <a:pt x="136464" y="609600"/>
                            <a:pt x="304800" y="609600"/>
                          </a:cubicBezTo>
                          <a:cubicBezTo>
                            <a:pt x="473136" y="609600"/>
                            <a:pt x="609600" y="473136"/>
                            <a:pt x="609600" y="304800"/>
                          </a:cubicBezTo>
                          <a:cubicBezTo>
                            <a:pt x="609411" y="136542"/>
                            <a:pt x="473058" y="189"/>
                            <a:pt x="304800" y="0"/>
                          </a:cubicBezTo>
                          <a:close/>
                        </a:path>
                      </a:pathLst>
                    </a:custGeom>
                    <a:grpFill/>
                    <a:ln w="9525" cap="flat">
                      <a:noFill/>
                      <a:prstDash val="solid"/>
                      <a:miter/>
                    </a:ln>
                  </xdr:spPr>
                  <xdr:txBody>
                    <a:bodyPr rtlCol="0" anchor="ctr"/>
                    <a:lstStyle/>
                    <a:p>
                      <a:endParaRPr lang="en-ID"/>
                    </a:p>
                  </xdr:txBody>
                </xdr:sp>
                <xdr:sp macro="" textlink="">
                  <xdr:nvSpPr>
                    <xdr:cNvPr id="20" name="Freeform: Shape 19">
                      <a:extLst>
                        <a:ext uri="{FF2B5EF4-FFF2-40B4-BE49-F238E27FC236}">
                          <a16:creationId xmlns:a16="http://schemas.microsoft.com/office/drawing/2014/main" id="{F9D9499F-03EE-F22C-75C3-501E4A413DCA}"/>
                        </a:ext>
                      </a:extLst>
                    </xdr:cNvPr>
                    <xdr:cNvSpPr/>
                  </xdr:nvSpPr>
                  <xdr:spPr>
                    <a:xfrm>
                      <a:off x="5795010" y="1644014"/>
                      <a:ext cx="295275" cy="295275"/>
                    </a:xfrm>
                    <a:custGeom>
                      <a:avLst/>
                      <a:gdLst>
                        <a:gd name="connsiteX0" fmla="*/ 194939 w 295275"/>
                        <a:gd name="connsiteY0" fmla="*/ 194948 h 295275"/>
                        <a:gd name="connsiteX1" fmla="*/ 35023 w 295275"/>
                        <a:gd name="connsiteY1" fmla="*/ 260366 h 295275"/>
                        <a:gd name="connsiteX2" fmla="*/ 100336 w 295275"/>
                        <a:gd name="connsiteY2" fmla="*/ 102175 h 295275"/>
                        <a:gd name="connsiteX3" fmla="*/ 260252 w 295275"/>
                        <a:gd name="connsiteY3" fmla="*/ 35290 h 295275"/>
                        <a:gd name="connsiteX4" fmla="*/ 85725 w 295275"/>
                        <a:gd name="connsiteY4" fmla="*/ 87630 h 295275"/>
                        <a:gd name="connsiteX5" fmla="*/ 0 w 295275"/>
                        <a:gd name="connsiteY5" fmla="*/ 295275 h 295275"/>
                        <a:gd name="connsiteX6" fmla="*/ 209550 w 295275"/>
                        <a:gd name="connsiteY6" fmla="*/ 209550 h 295275"/>
                        <a:gd name="connsiteX7" fmla="*/ 295275 w 295275"/>
                        <a:gd name="connsiteY7" fmla="*/ 0 h 295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95275" h="295275">
                          <a:moveTo>
                            <a:pt x="194939" y="194948"/>
                          </a:moveTo>
                          <a:lnTo>
                            <a:pt x="35023" y="260366"/>
                          </a:lnTo>
                          <a:lnTo>
                            <a:pt x="100336" y="102175"/>
                          </a:lnTo>
                          <a:lnTo>
                            <a:pt x="260252" y="35290"/>
                          </a:lnTo>
                          <a:close/>
                          <a:moveTo>
                            <a:pt x="85725" y="87630"/>
                          </a:moveTo>
                          <a:lnTo>
                            <a:pt x="0" y="295275"/>
                          </a:lnTo>
                          <a:lnTo>
                            <a:pt x="209550" y="209550"/>
                          </a:lnTo>
                          <a:lnTo>
                            <a:pt x="295275" y="0"/>
                          </a:lnTo>
                          <a:close/>
                        </a:path>
                      </a:pathLst>
                    </a:custGeom>
                    <a:grpFill/>
                    <a:ln w="9525" cap="flat">
                      <a:noFill/>
                      <a:prstDash val="solid"/>
                      <a:miter/>
                    </a:ln>
                  </xdr:spPr>
                  <xdr:txBody>
                    <a:bodyPr rtlCol="0" anchor="ctr"/>
                    <a:lstStyle/>
                    <a:p>
                      <a:endParaRPr lang="en-ID"/>
                    </a:p>
                  </xdr:txBody>
                </xdr:sp>
                <xdr:sp macro="" textlink="">
                  <xdr:nvSpPr>
                    <xdr:cNvPr id="21" name="Freeform: Shape 20">
                      <a:extLst>
                        <a:ext uri="{FF2B5EF4-FFF2-40B4-BE49-F238E27FC236}">
                          <a16:creationId xmlns:a16="http://schemas.microsoft.com/office/drawing/2014/main" id="{170A7CE5-762C-772E-A2DE-0480484C696B}"/>
                        </a:ext>
                      </a:extLst>
                    </xdr:cNvPr>
                    <xdr:cNvSpPr/>
                  </xdr:nvSpPr>
                  <xdr:spPr>
                    <a:xfrm>
                      <a:off x="5924550" y="1771650"/>
                      <a:ext cx="38100" cy="38100"/>
                    </a:xfrm>
                    <a:custGeom>
                      <a:avLst/>
                      <a:gdLst>
                        <a:gd name="connsiteX0" fmla="*/ 38100 w 38100"/>
                        <a:gd name="connsiteY0" fmla="*/ 19050 h 38100"/>
                        <a:gd name="connsiteX1" fmla="*/ 19050 w 38100"/>
                        <a:gd name="connsiteY1" fmla="*/ 38100 h 38100"/>
                        <a:gd name="connsiteX2" fmla="*/ 0 w 38100"/>
                        <a:gd name="connsiteY2" fmla="*/ 19050 h 38100"/>
                        <a:gd name="connsiteX3" fmla="*/ 19050 w 38100"/>
                        <a:gd name="connsiteY3" fmla="*/ 0 h 38100"/>
                        <a:gd name="connsiteX4" fmla="*/ 38100 w 38100"/>
                        <a:gd name="connsiteY4" fmla="*/ 19050 h 381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8100" h="38100">
                          <a:moveTo>
                            <a:pt x="38100" y="19050"/>
                          </a:moveTo>
                          <a:cubicBezTo>
                            <a:pt x="38100" y="29571"/>
                            <a:pt x="29571" y="38100"/>
                            <a:pt x="19050" y="38100"/>
                          </a:cubicBezTo>
                          <a:cubicBezTo>
                            <a:pt x="8529" y="38100"/>
                            <a:pt x="0" y="29571"/>
                            <a:pt x="0" y="19050"/>
                          </a:cubicBezTo>
                          <a:cubicBezTo>
                            <a:pt x="0" y="8529"/>
                            <a:pt x="8529" y="0"/>
                            <a:pt x="19050" y="0"/>
                          </a:cubicBezTo>
                          <a:cubicBezTo>
                            <a:pt x="29571" y="0"/>
                            <a:pt x="38100" y="8529"/>
                            <a:pt x="38100" y="19050"/>
                          </a:cubicBezTo>
                          <a:close/>
                        </a:path>
                      </a:pathLst>
                    </a:custGeom>
                    <a:grpFill/>
                    <a:ln w="9525" cap="flat">
                      <a:noFill/>
                      <a:prstDash val="solid"/>
                      <a:miter/>
                    </a:ln>
                  </xdr:spPr>
                  <xdr:txBody>
                    <a:bodyPr rtlCol="0" anchor="ctr"/>
                    <a:lstStyle/>
                    <a:p>
                      <a:endParaRPr lang="en-ID"/>
                    </a:p>
                  </xdr:txBody>
                </xdr:sp>
              </xdr:grpSp>
            </xdr:grpSp>
            <xdr:sp macro="" textlink="">
              <xdr:nvSpPr>
                <xdr:cNvPr id="15" name="Rectangle: Rounded Corners 14">
                  <a:extLst>
                    <a:ext uri="{FF2B5EF4-FFF2-40B4-BE49-F238E27FC236}">
                      <a16:creationId xmlns:a16="http://schemas.microsoft.com/office/drawing/2014/main" id="{DA6E1938-EC35-C753-AEB4-F55DB2C666FB}"/>
                    </a:ext>
                  </a:extLst>
                </xdr:cNvPr>
                <xdr:cNvSpPr/>
              </xdr:nvSpPr>
              <xdr:spPr>
                <a:xfrm>
                  <a:off x="11382375" y="257175"/>
                  <a:ext cx="180000" cy="28800"/>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16" name="TextBox 15">
                  <a:hlinkClick xmlns:r="http://schemas.openxmlformats.org/officeDocument/2006/relationships" r:id="rId6" tooltip="Project Status"/>
                  <a:extLst>
                    <a:ext uri="{FF2B5EF4-FFF2-40B4-BE49-F238E27FC236}">
                      <a16:creationId xmlns:a16="http://schemas.microsoft.com/office/drawing/2014/main" id="{4AF6978A-1924-EE4F-76B4-799FA1C32CAA}"/>
                    </a:ext>
                  </a:extLst>
                </xdr:cNvPr>
                <xdr:cNvSpPr txBox="1"/>
              </xdr:nvSpPr>
              <xdr:spPr>
                <a:xfrm>
                  <a:off x="11646177"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Measurement</a:t>
                  </a:r>
                </a:p>
              </xdr:txBody>
            </xdr:sp>
          </xdr:grpSp>
          <xdr:pic>
            <xdr:nvPicPr>
              <xdr:cNvPr id="8" name="Picture 7">
                <a:hlinkClick xmlns:r="http://schemas.openxmlformats.org/officeDocument/2006/relationships" r:id="rId7" tooltip="Dashboard"/>
                <a:extLst>
                  <a:ext uri="{FF2B5EF4-FFF2-40B4-BE49-F238E27FC236}">
                    <a16:creationId xmlns:a16="http://schemas.microsoft.com/office/drawing/2014/main" id="{4036FB87-45C0-AF8D-3996-46273C577327}"/>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8016" t="35915" r="8861" b="35651"/>
              <a:stretch/>
            </xdr:blipFill>
            <xdr:spPr>
              <a:xfrm>
                <a:off x="123825" y="19050"/>
                <a:ext cx="1876426" cy="361950"/>
              </a:xfrm>
              <a:prstGeom prst="rect">
                <a:avLst/>
              </a:prstGeom>
            </xdr:spPr>
          </xdr:pic>
        </xdr:grpSp>
        <xdr:sp macro="" textlink="">
          <xdr:nvSpPr>
            <xdr:cNvPr id="6" name="Rectangle: Rounded Corners 5">
              <a:extLst>
                <a:ext uri="{FF2B5EF4-FFF2-40B4-BE49-F238E27FC236}">
                  <a16:creationId xmlns:a16="http://schemas.microsoft.com/office/drawing/2014/main" id="{CCF428D0-7BF6-2800-7708-84EA6424C64D}"/>
                </a:ext>
              </a:extLst>
            </xdr:cNvPr>
            <xdr:cNvSpPr/>
          </xdr:nvSpPr>
          <xdr:spPr>
            <a:xfrm>
              <a:off x="11744325" y="276225"/>
              <a:ext cx="180000" cy="288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grpSp>
      <xdr:pic>
        <xdr:nvPicPr>
          <xdr:cNvPr id="4" name="Graphic 3" descr="Compass outline">
            <a:extLst>
              <a:ext uri="{FF2B5EF4-FFF2-40B4-BE49-F238E27FC236}">
                <a16:creationId xmlns:a16="http://schemas.microsoft.com/office/drawing/2014/main" id="{95F06430-6978-BACD-817D-0012FE1A8FF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838701" y="38101"/>
            <a:ext cx="266700" cy="266700"/>
          </a:xfrm>
          <a:prstGeom prst="rect">
            <a:avLst/>
          </a:prstGeom>
        </xdr:spPr>
      </xdr:pic>
    </xdr:grpSp>
    <xdr:clientData/>
  </xdr:twoCellAnchor>
  <xdr:twoCellAnchor editAs="absolute">
    <xdr:from>
      <xdr:col>1</xdr:col>
      <xdr:colOff>9525</xdr:colOff>
      <xdr:row>3</xdr:row>
      <xdr:rowOff>0</xdr:rowOff>
    </xdr:from>
    <xdr:to>
      <xdr:col>6</xdr:col>
      <xdr:colOff>1016000</xdr:colOff>
      <xdr:row>4</xdr:row>
      <xdr:rowOff>123825</xdr:rowOff>
    </xdr:to>
    <xdr:grpSp>
      <xdr:nvGrpSpPr>
        <xdr:cNvPr id="22" name="Group 21">
          <a:extLst>
            <a:ext uri="{FF2B5EF4-FFF2-40B4-BE49-F238E27FC236}">
              <a16:creationId xmlns:a16="http://schemas.microsoft.com/office/drawing/2014/main" id="{61E5DE4E-F8F0-4179-BD67-D1FF9C59F417}"/>
            </a:ext>
          </a:extLst>
        </xdr:cNvPr>
        <xdr:cNvGrpSpPr/>
      </xdr:nvGrpSpPr>
      <xdr:grpSpPr>
        <a:xfrm>
          <a:off x="619125" y="571500"/>
          <a:ext cx="7150100" cy="314325"/>
          <a:chOff x="771525" y="581025"/>
          <a:chExt cx="7162800" cy="314325"/>
        </a:xfrm>
      </xdr:grpSpPr>
      <xdr:grpSp>
        <xdr:nvGrpSpPr>
          <xdr:cNvPr id="23" name="Group 22">
            <a:hlinkClick xmlns:r="http://schemas.openxmlformats.org/officeDocument/2006/relationships" r:id="rId6"/>
            <a:extLst>
              <a:ext uri="{FF2B5EF4-FFF2-40B4-BE49-F238E27FC236}">
                <a16:creationId xmlns:a16="http://schemas.microsoft.com/office/drawing/2014/main" id="{98ECD959-7CD2-C34A-C43A-3BFF4112E200}"/>
              </a:ext>
            </a:extLst>
          </xdr:cNvPr>
          <xdr:cNvGrpSpPr/>
        </xdr:nvGrpSpPr>
        <xdr:grpSpPr>
          <a:xfrm>
            <a:off x="771525" y="581025"/>
            <a:ext cx="1247775" cy="314325"/>
            <a:chOff x="190500" y="552450"/>
            <a:chExt cx="1247775" cy="314325"/>
          </a:xfrm>
        </xdr:grpSpPr>
        <xdr:sp macro="" textlink="">
          <xdr:nvSpPr>
            <xdr:cNvPr id="37" name="Rectangle: Rounded Corners 36">
              <a:extLst>
                <a:ext uri="{FF2B5EF4-FFF2-40B4-BE49-F238E27FC236}">
                  <a16:creationId xmlns:a16="http://schemas.microsoft.com/office/drawing/2014/main" id="{97678B1F-35E0-F047-98F1-7B4334E3101A}"/>
                </a:ext>
              </a:extLst>
            </xdr:cNvPr>
            <xdr:cNvSpPr/>
          </xdr:nvSpPr>
          <xdr:spPr>
            <a:xfrm>
              <a:off x="190500"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38" name="TextBox 37">
              <a:extLst>
                <a:ext uri="{FF2B5EF4-FFF2-40B4-BE49-F238E27FC236}">
                  <a16:creationId xmlns:a16="http://schemas.microsoft.com/office/drawing/2014/main" id="{017128A8-CF48-A63B-DA59-DF384E7EBA8A}"/>
                </a:ext>
              </a:extLst>
            </xdr:cNvPr>
            <xdr:cNvSpPr txBox="1"/>
          </xdr:nvSpPr>
          <xdr:spPr>
            <a:xfrm>
              <a:off x="338137"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solidFill>
                    <a:schemeClr val="bg1"/>
                  </a:solidFill>
                  <a:latin typeface="Avenir Next LT Pro" panose="020B0504020202020204" pitchFamily="34" charset="0"/>
                </a:rPr>
                <a:t>Persediaan</a:t>
              </a:r>
            </a:p>
          </xdr:txBody>
        </xdr:sp>
      </xdr:grpSp>
      <xdr:grpSp>
        <xdr:nvGrpSpPr>
          <xdr:cNvPr id="24" name="Group 23">
            <a:hlinkClick xmlns:r="http://schemas.openxmlformats.org/officeDocument/2006/relationships" r:id="rId11"/>
            <a:extLst>
              <a:ext uri="{FF2B5EF4-FFF2-40B4-BE49-F238E27FC236}">
                <a16:creationId xmlns:a16="http://schemas.microsoft.com/office/drawing/2014/main" id="{56869F2B-F225-05FC-56E6-FC9F58E58F91}"/>
              </a:ext>
            </a:extLst>
          </xdr:cNvPr>
          <xdr:cNvGrpSpPr/>
        </xdr:nvGrpSpPr>
        <xdr:grpSpPr>
          <a:xfrm>
            <a:off x="2247900" y="581025"/>
            <a:ext cx="1247775" cy="314325"/>
            <a:chOff x="1666875" y="552450"/>
            <a:chExt cx="1247775" cy="314325"/>
          </a:xfrm>
        </xdr:grpSpPr>
        <xdr:sp macro="" textlink="">
          <xdr:nvSpPr>
            <xdr:cNvPr id="35" name="Rectangle: Rounded Corners 34">
              <a:extLst>
                <a:ext uri="{FF2B5EF4-FFF2-40B4-BE49-F238E27FC236}">
                  <a16:creationId xmlns:a16="http://schemas.microsoft.com/office/drawing/2014/main" id="{5034A604-7121-2D63-0D20-06A62C183AFA}"/>
                </a:ext>
              </a:extLst>
            </xdr:cNvPr>
            <xdr:cNvSpPr/>
          </xdr:nvSpPr>
          <xdr:spPr>
            <a:xfrm>
              <a:off x="16668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36" name="TextBox 35">
              <a:extLst>
                <a:ext uri="{FF2B5EF4-FFF2-40B4-BE49-F238E27FC236}">
                  <a16:creationId xmlns:a16="http://schemas.microsoft.com/office/drawing/2014/main" id="{0297B72D-498E-7362-01D6-623AA23B9CD9}"/>
                </a:ext>
              </a:extLst>
            </xdr:cNvPr>
            <xdr:cNvSpPr txBox="1"/>
          </xdr:nvSpPr>
          <xdr:spPr>
            <a:xfrm>
              <a:off x="1814512"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100" b="1">
                  <a:solidFill>
                    <a:schemeClr val="bg1"/>
                  </a:solidFill>
                  <a:latin typeface="Avenir Next LT Pro" panose="020B0504020202020204" pitchFamily="34" charset="0"/>
                </a:rPr>
                <a:t>BTK</a:t>
              </a:r>
            </a:p>
          </xdr:txBody>
        </xdr:sp>
      </xdr:grpSp>
      <xdr:grpSp>
        <xdr:nvGrpSpPr>
          <xdr:cNvPr id="25" name="Group 24">
            <a:extLst>
              <a:ext uri="{FF2B5EF4-FFF2-40B4-BE49-F238E27FC236}">
                <a16:creationId xmlns:a16="http://schemas.microsoft.com/office/drawing/2014/main" id="{74E3B5FA-4870-379D-DC3C-3B4A31E18424}"/>
              </a:ext>
            </a:extLst>
          </xdr:cNvPr>
          <xdr:cNvGrpSpPr/>
        </xdr:nvGrpSpPr>
        <xdr:grpSpPr>
          <a:xfrm>
            <a:off x="3743325" y="581025"/>
            <a:ext cx="2724150" cy="314325"/>
            <a:chOff x="3162300" y="552450"/>
            <a:chExt cx="2724150" cy="314325"/>
          </a:xfrm>
        </xdr:grpSpPr>
        <xdr:grpSp>
          <xdr:nvGrpSpPr>
            <xdr:cNvPr id="29" name="Group 28">
              <a:hlinkClick xmlns:r="http://schemas.openxmlformats.org/officeDocument/2006/relationships" r:id="rId12"/>
              <a:extLst>
                <a:ext uri="{FF2B5EF4-FFF2-40B4-BE49-F238E27FC236}">
                  <a16:creationId xmlns:a16="http://schemas.microsoft.com/office/drawing/2014/main" id="{3AA9E9E8-6EF6-05AF-4D76-747E3A480A1C}"/>
                </a:ext>
              </a:extLst>
            </xdr:cNvPr>
            <xdr:cNvGrpSpPr/>
          </xdr:nvGrpSpPr>
          <xdr:grpSpPr>
            <a:xfrm>
              <a:off x="3162300" y="552450"/>
              <a:ext cx="1247775" cy="314325"/>
              <a:chOff x="3162300" y="552450"/>
              <a:chExt cx="1247775" cy="314325"/>
            </a:xfrm>
          </xdr:grpSpPr>
          <xdr:sp macro="" textlink="">
            <xdr:nvSpPr>
              <xdr:cNvPr id="33" name="Rectangle: Rounded Corners 32">
                <a:extLst>
                  <a:ext uri="{FF2B5EF4-FFF2-40B4-BE49-F238E27FC236}">
                    <a16:creationId xmlns:a16="http://schemas.microsoft.com/office/drawing/2014/main" id="{CA7C884F-5146-B142-40EF-63F8F7A03EB3}"/>
                  </a:ext>
                </a:extLst>
              </xdr:cNvPr>
              <xdr:cNvSpPr/>
            </xdr:nvSpPr>
            <xdr:spPr>
              <a:xfrm>
                <a:off x="3162300"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34" name="TextBox 33">
                <a:extLst>
                  <a:ext uri="{FF2B5EF4-FFF2-40B4-BE49-F238E27FC236}">
                    <a16:creationId xmlns:a16="http://schemas.microsoft.com/office/drawing/2014/main" id="{85762582-0F09-FD69-6833-CBB92BB9BA09}"/>
                  </a:ext>
                </a:extLst>
              </xdr:cNvPr>
              <xdr:cNvSpPr txBox="1"/>
            </xdr:nvSpPr>
            <xdr:spPr>
              <a:xfrm>
                <a:off x="3309937" y="576262"/>
                <a:ext cx="985838"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solidFill>
                      <a:schemeClr val="bg1"/>
                    </a:solidFill>
                    <a:latin typeface="Avenir Next LT Pro" panose="020B0504020202020204" pitchFamily="34" charset="0"/>
                  </a:rPr>
                  <a:t>Penyusutan</a:t>
                </a:r>
              </a:p>
            </xdr:txBody>
          </xdr:sp>
        </xdr:grpSp>
        <xdr:grpSp>
          <xdr:nvGrpSpPr>
            <xdr:cNvPr id="30" name="Group 29">
              <a:extLst>
                <a:ext uri="{FF2B5EF4-FFF2-40B4-BE49-F238E27FC236}">
                  <a16:creationId xmlns:a16="http://schemas.microsoft.com/office/drawing/2014/main" id="{7E820CF5-BEE8-C022-0C4D-AAB67902F4D3}"/>
                </a:ext>
              </a:extLst>
            </xdr:cNvPr>
            <xdr:cNvGrpSpPr/>
          </xdr:nvGrpSpPr>
          <xdr:grpSpPr>
            <a:xfrm>
              <a:off x="4638675" y="552450"/>
              <a:ext cx="1247775" cy="314325"/>
              <a:chOff x="4638675" y="552450"/>
              <a:chExt cx="1247775" cy="314325"/>
            </a:xfrm>
          </xdr:grpSpPr>
          <xdr:sp macro="" textlink="">
            <xdr:nvSpPr>
              <xdr:cNvPr id="31" name="Rectangle: Rounded Corners 30">
                <a:extLst>
                  <a:ext uri="{FF2B5EF4-FFF2-40B4-BE49-F238E27FC236}">
                    <a16:creationId xmlns:a16="http://schemas.microsoft.com/office/drawing/2014/main" id="{3F456BFC-619C-AF94-9AAF-538DDB21EF95}"/>
                  </a:ext>
                </a:extLst>
              </xdr:cNvPr>
              <xdr:cNvSpPr/>
            </xdr:nvSpPr>
            <xdr:spPr>
              <a:xfrm>
                <a:off x="46386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32" name="TextBox 31">
                <a:hlinkClick xmlns:r="http://schemas.openxmlformats.org/officeDocument/2006/relationships" r:id="rId13"/>
                <a:extLst>
                  <a:ext uri="{FF2B5EF4-FFF2-40B4-BE49-F238E27FC236}">
                    <a16:creationId xmlns:a16="http://schemas.microsoft.com/office/drawing/2014/main" id="{7E37B701-0879-ACAE-9AAD-D4685A396F98}"/>
                  </a:ext>
                </a:extLst>
              </xdr:cNvPr>
              <xdr:cNvSpPr txBox="1"/>
            </xdr:nvSpPr>
            <xdr:spPr>
              <a:xfrm>
                <a:off x="4786312" y="576262"/>
                <a:ext cx="1081088"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900" b="1">
                    <a:solidFill>
                      <a:schemeClr val="bg1"/>
                    </a:solidFill>
                    <a:latin typeface="Avenir Next LT Pro" panose="020B0504020202020204" pitchFamily="34" charset="0"/>
                  </a:rPr>
                  <a:t>Aging</a:t>
                </a:r>
                <a:r>
                  <a:rPr lang="en-ID" sz="900" b="1" baseline="0">
                    <a:solidFill>
                      <a:schemeClr val="bg1"/>
                    </a:solidFill>
                    <a:latin typeface="Avenir Next LT Pro" panose="020B0504020202020204" pitchFamily="34" charset="0"/>
                  </a:rPr>
                  <a:t> Schedule</a:t>
                </a:r>
                <a:endParaRPr lang="en-ID" sz="900" b="1">
                  <a:solidFill>
                    <a:schemeClr val="bg1"/>
                  </a:solidFill>
                  <a:latin typeface="Avenir Next LT Pro" panose="020B0504020202020204" pitchFamily="34" charset="0"/>
                </a:endParaRPr>
              </a:p>
            </xdr:txBody>
          </xdr:sp>
        </xdr:grpSp>
      </xdr:grpSp>
      <xdr:grpSp>
        <xdr:nvGrpSpPr>
          <xdr:cNvPr id="26" name="Group 25">
            <a:hlinkClick xmlns:r="http://schemas.openxmlformats.org/officeDocument/2006/relationships" r:id="rId11"/>
            <a:extLst>
              <a:ext uri="{FF2B5EF4-FFF2-40B4-BE49-F238E27FC236}">
                <a16:creationId xmlns:a16="http://schemas.microsoft.com/office/drawing/2014/main" id="{0F83E53D-331C-24D9-64F9-860F4CB514D0}"/>
              </a:ext>
            </a:extLst>
          </xdr:cNvPr>
          <xdr:cNvGrpSpPr/>
        </xdr:nvGrpSpPr>
        <xdr:grpSpPr>
          <a:xfrm>
            <a:off x="6686550" y="581025"/>
            <a:ext cx="1247775" cy="314325"/>
            <a:chOff x="1666875" y="552450"/>
            <a:chExt cx="1247775" cy="314325"/>
          </a:xfrm>
        </xdr:grpSpPr>
        <xdr:sp macro="" textlink="">
          <xdr:nvSpPr>
            <xdr:cNvPr id="27" name="Rectangle: Rounded Corners 26">
              <a:extLst>
                <a:ext uri="{FF2B5EF4-FFF2-40B4-BE49-F238E27FC236}">
                  <a16:creationId xmlns:a16="http://schemas.microsoft.com/office/drawing/2014/main" id="{881A44E8-CC63-1439-5A32-08967BCA195E}"/>
                </a:ext>
              </a:extLst>
            </xdr:cNvPr>
            <xdr:cNvSpPr/>
          </xdr:nvSpPr>
          <xdr:spPr>
            <a:xfrm>
              <a:off x="16668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28" name="TextBox 27">
              <a:hlinkClick xmlns:r="http://schemas.openxmlformats.org/officeDocument/2006/relationships" r:id="rId14" tooltip="Obligasi"/>
              <a:extLst>
                <a:ext uri="{FF2B5EF4-FFF2-40B4-BE49-F238E27FC236}">
                  <a16:creationId xmlns:a16="http://schemas.microsoft.com/office/drawing/2014/main" id="{0C36CA32-F554-241B-12D0-49CDF79C1F6D}"/>
                </a:ext>
              </a:extLst>
            </xdr:cNvPr>
            <xdr:cNvSpPr txBox="1"/>
          </xdr:nvSpPr>
          <xdr:spPr>
            <a:xfrm>
              <a:off x="1814512"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100" b="1">
                  <a:solidFill>
                    <a:schemeClr val="bg1"/>
                  </a:solidFill>
                  <a:latin typeface="Avenir Next LT Pro" panose="020B0504020202020204" pitchFamily="34" charset="0"/>
                </a:rPr>
                <a:t>Liabilities</a:t>
              </a:r>
            </a:p>
          </xdr:txBody>
        </xdr:sp>
      </xdr:grpSp>
    </xdr:grp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269876</xdr:colOff>
      <xdr:row>2</xdr:row>
      <xdr:rowOff>0</xdr:rowOff>
    </xdr:to>
    <xdr:grpSp>
      <xdr:nvGrpSpPr>
        <xdr:cNvPr id="2" name="Group 1">
          <a:extLst>
            <a:ext uri="{FF2B5EF4-FFF2-40B4-BE49-F238E27FC236}">
              <a16:creationId xmlns:a16="http://schemas.microsoft.com/office/drawing/2014/main" id="{97B86B7A-E688-4F26-A578-5E339858A6EB}"/>
            </a:ext>
          </a:extLst>
        </xdr:cNvPr>
        <xdr:cNvGrpSpPr/>
      </xdr:nvGrpSpPr>
      <xdr:grpSpPr>
        <a:xfrm>
          <a:off x="0" y="0"/>
          <a:ext cx="13623926" cy="381000"/>
          <a:chOff x="0" y="0"/>
          <a:chExt cx="13554076" cy="381000"/>
        </a:xfrm>
      </xdr:grpSpPr>
      <xdr:grpSp>
        <xdr:nvGrpSpPr>
          <xdr:cNvPr id="3" name="Group 2">
            <a:extLst>
              <a:ext uri="{FF2B5EF4-FFF2-40B4-BE49-F238E27FC236}">
                <a16:creationId xmlns:a16="http://schemas.microsoft.com/office/drawing/2014/main" id="{FDAC6572-9E7A-F4F3-9E6C-5214C608EAA8}"/>
              </a:ext>
            </a:extLst>
          </xdr:cNvPr>
          <xdr:cNvGrpSpPr/>
        </xdr:nvGrpSpPr>
        <xdr:grpSpPr>
          <a:xfrm>
            <a:off x="0" y="0"/>
            <a:ext cx="13554076" cy="381000"/>
            <a:chOff x="0" y="0"/>
            <a:chExt cx="13554076" cy="381000"/>
          </a:xfrm>
        </xdr:grpSpPr>
        <xdr:grpSp>
          <xdr:nvGrpSpPr>
            <xdr:cNvPr id="5" name="Group 4">
              <a:extLst>
                <a:ext uri="{FF2B5EF4-FFF2-40B4-BE49-F238E27FC236}">
                  <a16:creationId xmlns:a16="http://schemas.microsoft.com/office/drawing/2014/main" id="{96297236-1142-CDD7-9F16-40CE424153E7}"/>
                </a:ext>
              </a:extLst>
            </xdr:cNvPr>
            <xdr:cNvGrpSpPr/>
          </xdr:nvGrpSpPr>
          <xdr:grpSpPr>
            <a:xfrm>
              <a:off x="0" y="0"/>
              <a:ext cx="13554076" cy="381000"/>
              <a:chOff x="0" y="0"/>
              <a:chExt cx="13554076" cy="381000"/>
            </a:xfrm>
          </xdr:grpSpPr>
          <xdr:grpSp>
            <xdr:nvGrpSpPr>
              <xdr:cNvPr id="7" name="Group 6">
                <a:extLst>
                  <a:ext uri="{FF2B5EF4-FFF2-40B4-BE49-F238E27FC236}">
                    <a16:creationId xmlns:a16="http://schemas.microsoft.com/office/drawing/2014/main" id="{5388D37B-A0D5-240B-2EA6-E0B41BE5E021}"/>
                  </a:ext>
                </a:extLst>
              </xdr:cNvPr>
              <xdr:cNvGrpSpPr/>
            </xdr:nvGrpSpPr>
            <xdr:grpSpPr>
              <a:xfrm>
                <a:off x="0" y="0"/>
                <a:ext cx="13554076" cy="360000"/>
                <a:chOff x="0" y="0"/>
                <a:chExt cx="13554076" cy="352424"/>
              </a:xfr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2700000" scaled="1"/>
                <a:tileRect/>
              </a:gradFill>
              <a:effectLst>
                <a:outerShdw blurRad="50800" dist="38100" dir="5400000" algn="t" rotWithShape="0">
                  <a:prstClr val="black">
                    <a:alpha val="40000"/>
                  </a:prstClr>
                </a:outerShdw>
              </a:effectLst>
            </xdr:grpSpPr>
            <xdr:sp macro="" textlink="">
              <xdr:nvSpPr>
                <xdr:cNvPr id="9" name="Rectangle 8">
                  <a:extLst>
                    <a:ext uri="{FF2B5EF4-FFF2-40B4-BE49-F238E27FC236}">
                      <a16:creationId xmlns:a16="http://schemas.microsoft.com/office/drawing/2014/main" id="{2B28AB2F-466E-EE3B-CA7C-9161E92D68E2}"/>
                    </a:ext>
                  </a:extLst>
                </xdr:cNvPr>
                <xdr:cNvSpPr/>
              </xdr:nvSpPr>
              <xdr:spPr>
                <a:xfrm>
                  <a:off x="0" y="0"/>
                  <a:ext cx="13554076" cy="352424"/>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10" name="TextBox 9">
                  <a:hlinkClick xmlns:r="http://schemas.openxmlformats.org/officeDocument/2006/relationships" r:id="rId1" tooltip="Reports"/>
                  <a:extLst>
                    <a:ext uri="{FF2B5EF4-FFF2-40B4-BE49-F238E27FC236}">
                      <a16:creationId xmlns:a16="http://schemas.microsoft.com/office/drawing/2014/main" id="{B469DA61-991B-F1F7-E35A-D10DB303F186}"/>
                    </a:ext>
                  </a:extLst>
                </xdr:cNvPr>
                <xdr:cNvSpPr txBox="1"/>
              </xdr:nvSpPr>
              <xdr:spPr>
                <a:xfrm>
                  <a:off x="10187147" y="37499"/>
                  <a:ext cx="986167"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Reports</a:t>
                  </a:r>
                </a:p>
              </xdr:txBody>
            </xdr:sp>
            <xdr:sp macro="" textlink="">
              <xdr:nvSpPr>
                <xdr:cNvPr id="11" name="TextBox 10">
                  <a:hlinkClick xmlns:r="http://schemas.openxmlformats.org/officeDocument/2006/relationships" r:id="rId2" tooltip="Project Status"/>
                  <a:extLst>
                    <a:ext uri="{FF2B5EF4-FFF2-40B4-BE49-F238E27FC236}">
                      <a16:creationId xmlns:a16="http://schemas.microsoft.com/office/drawing/2014/main" id="{37023760-C410-BC2E-87A5-358F5CBF594D}"/>
                    </a:ext>
                  </a:extLst>
                </xdr:cNvPr>
                <xdr:cNvSpPr txBox="1"/>
              </xdr:nvSpPr>
              <xdr:spPr>
                <a:xfrm>
                  <a:off x="10855602"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Dashboard</a:t>
                  </a:r>
                </a:p>
              </xdr:txBody>
            </xdr:sp>
            <xdr:sp macro="" textlink="">
              <xdr:nvSpPr>
                <xdr:cNvPr id="12" name="TextBox 11">
                  <a:hlinkClick xmlns:r="http://schemas.openxmlformats.org/officeDocument/2006/relationships" r:id="rId3" tooltip="Income Sources"/>
                  <a:extLst>
                    <a:ext uri="{FF2B5EF4-FFF2-40B4-BE49-F238E27FC236}">
                      <a16:creationId xmlns:a16="http://schemas.microsoft.com/office/drawing/2014/main" id="{FF6DCEB5-9FD0-67E6-0027-B03FFD185DC6}"/>
                    </a:ext>
                  </a:extLst>
                </xdr:cNvPr>
                <xdr:cNvSpPr txBox="1"/>
              </xdr:nvSpPr>
              <xdr:spPr>
                <a:xfrm>
                  <a:off x="7702827" y="28575"/>
                  <a:ext cx="1212640"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Genenral</a:t>
                  </a:r>
                  <a:r>
                    <a:rPr lang="en-ID" sz="1100" kern="1200" baseline="0">
                      <a:solidFill>
                        <a:schemeClr val="bg1"/>
                      </a:solidFill>
                      <a:latin typeface="Avenir Next LT Pro" panose="020B0504020202020204" pitchFamily="34" charset="0"/>
                    </a:rPr>
                    <a:t> Journal</a:t>
                  </a:r>
                  <a:endParaRPr lang="en-ID" sz="1100" kern="1200">
                    <a:solidFill>
                      <a:schemeClr val="bg1"/>
                    </a:solidFill>
                    <a:latin typeface="Avenir Next LT Pro" panose="020B0504020202020204" pitchFamily="34" charset="0"/>
                  </a:endParaRPr>
                </a:p>
              </xdr:txBody>
            </xdr:sp>
            <xdr:sp macro="" textlink="">
              <xdr:nvSpPr>
                <xdr:cNvPr id="13" name="TextBox 12">
                  <a:hlinkClick xmlns:r="http://schemas.openxmlformats.org/officeDocument/2006/relationships" r:id="rId4" tooltip="RAPBO"/>
                  <a:extLst>
                    <a:ext uri="{FF2B5EF4-FFF2-40B4-BE49-F238E27FC236}">
                      <a16:creationId xmlns:a16="http://schemas.microsoft.com/office/drawing/2014/main" id="{8DB88AED-DB94-8F60-1E2B-F3F0B7579F01}"/>
                    </a:ext>
                  </a:extLst>
                </xdr:cNvPr>
                <xdr:cNvSpPr txBox="1"/>
              </xdr:nvSpPr>
              <xdr:spPr>
                <a:xfrm>
                  <a:off x="9045431" y="28575"/>
                  <a:ext cx="1193944"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General</a:t>
                  </a:r>
                  <a:r>
                    <a:rPr lang="en-ID" sz="1100" kern="1200" baseline="0">
                      <a:solidFill>
                        <a:schemeClr val="bg1"/>
                      </a:solidFill>
                      <a:latin typeface="Avenir Next LT Pro" panose="020B0504020202020204" pitchFamily="34" charset="0"/>
                    </a:rPr>
                    <a:t> Ledger</a:t>
                  </a:r>
                  <a:endParaRPr lang="en-ID" sz="1100" kern="1200">
                    <a:solidFill>
                      <a:schemeClr val="bg1"/>
                    </a:solidFill>
                    <a:latin typeface="Avenir Next LT Pro" panose="020B0504020202020204" pitchFamily="34" charset="0"/>
                  </a:endParaRPr>
                </a:p>
              </xdr:txBody>
            </xdr:sp>
            <xdr:grpSp>
              <xdr:nvGrpSpPr>
                <xdr:cNvPr id="14" name="Group 13">
                  <a:extLst>
                    <a:ext uri="{FF2B5EF4-FFF2-40B4-BE49-F238E27FC236}">
                      <a16:creationId xmlns:a16="http://schemas.microsoft.com/office/drawing/2014/main" id="{490EB7AD-7752-B554-A22C-B5A21E2197A6}"/>
                    </a:ext>
                  </a:extLst>
                </xdr:cNvPr>
                <xdr:cNvGrpSpPr/>
              </xdr:nvGrpSpPr>
              <xdr:grpSpPr>
                <a:xfrm>
                  <a:off x="5016777" y="28575"/>
                  <a:ext cx="802998" cy="263405"/>
                  <a:chOff x="5016777" y="47625"/>
                  <a:chExt cx="802998" cy="263405"/>
                </a:xfrm>
                <a:grpFill/>
              </xdr:grpSpPr>
              <xdr:sp macro="" textlink="">
                <xdr:nvSpPr>
                  <xdr:cNvPr id="17" name="TextBox 16">
                    <a:hlinkClick xmlns:r="http://schemas.openxmlformats.org/officeDocument/2006/relationships" r:id="rId5" tooltip="Urbane Stitch Store"/>
                    <a:extLst>
                      <a:ext uri="{FF2B5EF4-FFF2-40B4-BE49-F238E27FC236}">
                        <a16:creationId xmlns:a16="http://schemas.microsoft.com/office/drawing/2014/main" id="{2305E902-C85B-9A19-9864-A34ECC9144EF}"/>
                      </a:ext>
                    </a:extLst>
                  </xdr:cNvPr>
                  <xdr:cNvSpPr txBox="1"/>
                </xdr:nvSpPr>
                <xdr:spPr>
                  <a:xfrm>
                    <a:off x="5016777" y="47625"/>
                    <a:ext cx="659861"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Browse</a:t>
                    </a:r>
                  </a:p>
                </xdr:txBody>
              </xdr:sp>
              <xdr:grpSp>
                <xdr:nvGrpSpPr>
                  <xdr:cNvPr id="18" name="Graphic 10" descr="Compass outline">
                    <a:extLst>
                      <a:ext uri="{FF2B5EF4-FFF2-40B4-BE49-F238E27FC236}">
                        <a16:creationId xmlns:a16="http://schemas.microsoft.com/office/drawing/2014/main" id="{BC068009-A1F4-6D19-08EB-B5FAFCF50C93}"/>
                      </a:ext>
                    </a:extLst>
                  </xdr:cNvPr>
                  <xdr:cNvGrpSpPr/>
                </xdr:nvGrpSpPr>
                <xdr:grpSpPr>
                  <a:xfrm>
                    <a:off x="5629275" y="85725"/>
                    <a:ext cx="190500" cy="190500"/>
                    <a:chOff x="5638800" y="1485900"/>
                    <a:chExt cx="609600" cy="609600"/>
                  </a:xfrm>
                  <a:grpFill/>
                </xdr:grpSpPr>
                <xdr:sp macro="" textlink="">
                  <xdr:nvSpPr>
                    <xdr:cNvPr id="19" name="Freeform: Shape 18">
                      <a:extLst>
                        <a:ext uri="{FF2B5EF4-FFF2-40B4-BE49-F238E27FC236}">
                          <a16:creationId xmlns:a16="http://schemas.microsoft.com/office/drawing/2014/main" id="{BF0193E6-E2B3-7135-E4A3-CBEACF9704EA}"/>
                        </a:ext>
                      </a:extLst>
                    </xdr:cNvPr>
                    <xdr:cNvSpPr/>
                  </xdr:nvSpPr>
                  <xdr:spPr>
                    <a:xfrm>
                      <a:off x="5638800" y="1485900"/>
                      <a:ext cx="609600" cy="609600"/>
                    </a:xfrm>
                    <a:custGeom>
                      <a:avLst/>
                      <a:gdLst>
                        <a:gd name="connsiteX0" fmla="*/ 304800 w 609600"/>
                        <a:gd name="connsiteY0" fmla="*/ 19050 h 609600"/>
                        <a:gd name="connsiteX1" fmla="*/ 590550 w 609600"/>
                        <a:gd name="connsiteY1" fmla="*/ 304800 h 609600"/>
                        <a:gd name="connsiteX2" fmla="*/ 304800 w 609600"/>
                        <a:gd name="connsiteY2" fmla="*/ 590550 h 609600"/>
                        <a:gd name="connsiteX3" fmla="*/ 19050 w 609600"/>
                        <a:gd name="connsiteY3" fmla="*/ 304800 h 609600"/>
                        <a:gd name="connsiteX4" fmla="*/ 304800 w 609600"/>
                        <a:gd name="connsiteY4" fmla="*/ 19050 h 609600"/>
                        <a:gd name="connsiteX5" fmla="*/ 304800 w 609600"/>
                        <a:gd name="connsiteY5" fmla="*/ 0 h 609600"/>
                        <a:gd name="connsiteX6" fmla="*/ 0 w 609600"/>
                        <a:gd name="connsiteY6" fmla="*/ 304800 h 609600"/>
                        <a:gd name="connsiteX7" fmla="*/ 304800 w 609600"/>
                        <a:gd name="connsiteY7" fmla="*/ 609600 h 609600"/>
                        <a:gd name="connsiteX8" fmla="*/ 609600 w 609600"/>
                        <a:gd name="connsiteY8" fmla="*/ 304800 h 609600"/>
                        <a:gd name="connsiteX9" fmla="*/ 304800 w 609600"/>
                        <a:gd name="connsiteY9" fmla="*/ 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609600" h="609600">
                          <a:moveTo>
                            <a:pt x="304800" y="19050"/>
                          </a:moveTo>
                          <a:cubicBezTo>
                            <a:pt x="462615" y="19050"/>
                            <a:pt x="590550" y="146985"/>
                            <a:pt x="590550" y="304800"/>
                          </a:cubicBezTo>
                          <a:cubicBezTo>
                            <a:pt x="590550" y="462615"/>
                            <a:pt x="462615" y="590550"/>
                            <a:pt x="304800" y="590550"/>
                          </a:cubicBezTo>
                          <a:cubicBezTo>
                            <a:pt x="146985" y="590550"/>
                            <a:pt x="19050" y="462615"/>
                            <a:pt x="19050" y="304800"/>
                          </a:cubicBezTo>
                          <a:cubicBezTo>
                            <a:pt x="19228" y="147058"/>
                            <a:pt x="147058" y="19228"/>
                            <a:pt x="304800" y="19050"/>
                          </a:cubicBezTo>
                          <a:moveTo>
                            <a:pt x="304800" y="0"/>
                          </a:moveTo>
                          <a:cubicBezTo>
                            <a:pt x="136464" y="0"/>
                            <a:pt x="0" y="136464"/>
                            <a:pt x="0" y="304800"/>
                          </a:cubicBezTo>
                          <a:cubicBezTo>
                            <a:pt x="0" y="473136"/>
                            <a:pt x="136464" y="609600"/>
                            <a:pt x="304800" y="609600"/>
                          </a:cubicBezTo>
                          <a:cubicBezTo>
                            <a:pt x="473136" y="609600"/>
                            <a:pt x="609600" y="473136"/>
                            <a:pt x="609600" y="304800"/>
                          </a:cubicBezTo>
                          <a:cubicBezTo>
                            <a:pt x="609411" y="136542"/>
                            <a:pt x="473058" y="189"/>
                            <a:pt x="304800" y="0"/>
                          </a:cubicBezTo>
                          <a:close/>
                        </a:path>
                      </a:pathLst>
                    </a:custGeom>
                    <a:grpFill/>
                    <a:ln w="9525" cap="flat">
                      <a:noFill/>
                      <a:prstDash val="solid"/>
                      <a:miter/>
                    </a:ln>
                  </xdr:spPr>
                  <xdr:txBody>
                    <a:bodyPr rtlCol="0" anchor="ctr"/>
                    <a:lstStyle/>
                    <a:p>
                      <a:endParaRPr lang="en-ID"/>
                    </a:p>
                  </xdr:txBody>
                </xdr:sp>
                <xdr:sp macro="" textlink="">
                  <xdr:nvSpPr>
                    <xdr:cNvPr id="20" name="Freeform: Shape 19">
                      <a:extLst>
                        <a:ext uri="{FF2B5EF4-FFF2-40B4-BE49-F238E27FC236}">
                          <a16:creationId xmlns:a16="http://schemas.microsoft.com/office/drawing/2014/main" id="{FC08F84D-88BC-C90E-B773-BA15E40C7EEF}"/>
                        </a:ext>
                      </a:extLst>
                    </xdr:cNvPr>
                    <xdr:cNvSpPr/>
                  </xdr:nvSpPr>
                  <xdr:spPr>
                    <a:xfrm>
                      <a:off x="5795010" y="1644014"/>
                      <a:ext cx="295275" cy="295275"/>
                    </a:xfrm>
                    <a:custGeom>
                      <a:avLst/>
                      <a:gdLst>
                        <a:gd name="connsiteX0" fmla="*/ 194939 w 295275"/>
                        <a:gd name="connsiteY0" fmla="*/ 194948 h 295275"/>
                        <a:gd name="connsiteX1" fmla="*/ 35023 w 295275"/>
                        <a:gd name="connsiteY1" fmla="*/ 260366 h 295275"/>
                        <a:gd name="connsiteX2" fmla="*/ 100336 w 295275"/>
                        <a:gd name="connsiteY2" fmla="*/ 102175 h 295275"/>
                        <a:gd name="connsiteX3" fmla="*/ 260252 w 295275"/>
                        <a:gd name="connsiteY3" fmla="*/ 35290 h 295275"/>
                        <a:gd name="connsiteX4" fmla="*/ 85725 w 295275"/>
                        <a:gd name="connsiteY4" fmla="*/ 87630 h 295275"/>
                        <a:gd name="connsiteX5" fmla="*/ 0 w 295275"/>
                        <a:gd name="connsiteY5" fmla="*/ 295275 h 295275"/>
                        <a:gd name="connsiteX6" fmla="*/ 209550 w 295275"/>
                        <a:gd name="connsiteY6" fmla="*/ 209550 h 295275"/>
                        <a:gd name="connsiteX7" fmla="*/ 295275 w 295275"/>
                        <a:gd name="connsiteY7" fmla="*/ 0 h 295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95275" h="295275">
                          <a:moveTo>
                            <a:pt x="194939" y="194948"/>
                          </a:moveTo>
                          <a:lnTo>
                            <a:pt x="35023" y="260366"/>
                          </a:lnTo>
                          <a:lnTo>
                            <a:pt x="100336" y="102175"/>
                          </a:lnTo>
                          <a:lnTo>
                            <a:pt x="260252" y="35290"/>
                          </a:lnTo>
                          <a:close/>
                          <a:moveTo>
                            <a:pt x="85725" y="87630"/>
                          </a:moveTo>
                          <a:lnTo>
                            <a:pt x="0" y="295275"/>
                          </a:lnTo>
                          <a:lnTo>
                            <a:pt x="209550" y="209550"/>
                          </a:lnTo>
                          <a:lnTo>
                            <a:pt x="295275" y="0"/>
                          </a:lnTo>
                          <a:close/>
                        </a:path>
                      </a:pathLst>
                    </a:custGeom>
                    <a:grpFill/>
                    <a:ln w="9525" cap="flat">
                      <a:noFill/>
                      <a:prstDash val="solid"/>
                      <a:miter/>
                    </a:ln>
                  </xdr:spPr>
                  <xdr:txBody>
                    <a:bodyPr rtlCol="0" anchor="ctr"/>
                    <a:lstStyle/>
                    <a:p>
                      <a:endParaRPr lang="en-ID"/>
                    </a:p>
                  </xdr:txBody>
                </xdr:sp>
                <xdr:sp macro="" textlink="">
                  <xdr:nvSpPr>
                    <xdr:cNvPr id="21" name="Freeform: Shape 20">
                      <a:extLst>
                        <a:ext uri="{FF2B5EF4-FFF2-40B4-BE49-F238E27FC236}">
                          <a16:creationId xmlns:a16="http://schemas.microsoft.com/office/drawing/2014/main" id="{4B29C40E-8C9F-1E70-7E90-69648FF40701}"/>
                        </a:ext>
                      </a:extLst>
                    </xdr:cNvPr>
                    <xdr:cNvSpPr/>
                  </xdr:nvSpPr>
                  <xdr:spPr>
                    <a:xfrm>
                      <a:off x="5924550" y="1771650"/>
                      <a:ext cx="38100" cy="38100"/>
                    </a:xfrm>
                    <a:custGeom>
                      <a:avLst/>
                      <a:gdLst>
                        <a:gd name="connsiteX0" fmla="*/ 38100 w 38100"/>
                        <a:gd name="connsiteY0" fmla="*/ 19050 h 38100"/>
                        <a:gd name="connsiteX1" fmla="*/ 19050 w 38100"/>
                        <a:gd name="connsiteY1" fmla="*/ 38100 h 38100"/>
                        <a:gd name="connsiteX2" fmla="*/ 0 w 38100"/>
                        <a:gd name="connsiteY2" fmla="*/ 19050 h 38100"/>
                        <a:gd name="connsiteX3" fmla="*/ 19050 w 38100"/>
                        <a:gd name="connsiteY3" fmla="*/ 0 h 38100"/>
                        <a:gd name="connsiteX4" fmla="*/ 38100 w 38100"/>
                        <a:gd name="connsiteY4" fmla="*/ 19050 h 381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8100" h="38100">
                          <a:moveTo>
                            <a:pt x="38100" y="19050"/>
                          </a:moveTo>
                          <a:cubicBezTo>
                            <a:pt x="38100" y="29571"/>
                            <a:pt x="29571" y="38100"/>
                            <a:pt x="19050" y="38100"/>
                          </a:cubicBezTo>
                          <a:cubicBezTo>
                            <a:pt x="8529" y="38100"/>
                            <a:pt x="0" y="29571"/>
                            <a:pt x="0" y="19050"/>
                          </a:cubicBezTo>
                          <a:cubicBezTo>
                            <a:pt x="0" y="8529"/>
                            <a:pt x="8529" y="0"/>
                            <a:pt x="19050" y="0"/>
                          </a:cubicBezTo>
                          <a:cubicBezTo>
                            <a:pt x="29571" y="0"/>
                            <a:pt x="38100" y="8529"/>
                            <a:pt x="38100" y="19050"/>
                          </a:cubicBezTo>
                          <a:close/>
                        </a:path>
                      </a:pathLst>
                    </a:custGeom>
                    <a:grpFill/>
                    <a:ln w="9525" cap="flat">
                      <a:noFill/>
                      <a:prstDash val="solid"/>
                      <a:miter/>
                    </a:ln>
                  </xdr:spPr>
                  <xdr:txBody>
                    <a:bodyPr rtlCol="0" anchor="ctr"/>
                    <a:lstStyle/>
                    <a:p>
                      <a:endParaRPr lang="en-ID"/>
                    </a:p>
                  </xdr:txBody>
                </xdr:sp>
              </xdr:grpSp>
            </xdr:grpSp>
            <xdr:sp macro="" textlink="">
              <xdr:nvSpPr>
                <xdr:cNvPr id="15" name="Rectangle: Rounded Corners 14">
                  <a:extLst>
                    <a:ext uri="{FF2B5EF4-FFF2-40B4-BE49-F238E27FC236}">
                      <a16:creationId xmlns:a16="http://schemas.microsoft.com/office/drawing/2014/main" id="{D238EE5B-02D6-FC43-8EFB-984BA019455A}"/>
                    </a:ext>
                  </a:extLst>
                </xdr:cNvPr>
                <xdr:cNvSpPr/>
              </xdr:nvSpPr>
              <xdr:spPr>
                <a:xfrm>
                  <a:off x="11382375" y="257175"/>
                  <a:ext cx="180000" cy="28800"/>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16" name="TextBox 15">
                  <a:hlinkClick xmlns:r="http://schemas.openxmlformats.org/officeDocument/2006/relationships" r:id="rId6" tooltip="Project Status"/>
                  <a:extLst>
                    <a:ext uri="{FF2B5EF4-FFF2-40B4-BE49-F238E27FC236}">
                      <a16:creationId xmlns:a16="http://schemas.microsoft.com/office/drawing/2014/main" id="{AC43F241-7497-124C-0940-4AA8AEDC5FDF}"/>
                    </a:ext>
                  </a:extLst>
                </xdr:cNvPr>
                <xdr:cNvSpPr txBox="1"/>
              </xdr:nvSpPr>
              <xdr:spPr>
                <a:xfrm>
                  <a:off x="11646177"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Measurement</a:t>
                  </a:r>
                </a:p>
              </xdr:txBody>
            </xdr:sp>
          </xdr:grpSp>
          <xdr:pic>
            <xdr:nvPicPr>
              <xdr:cNvPr id="8" name="Picture 7">
                <a:hlinkClick xmlns:r="http://schemas.openxmlformats.org/officeDocument/2006/relationships" r:id="rId7" tooltip="Dashboard"/>
                <a:extLst>
                  <a:ext uri="{FF2B5EF4-FFF2-40B4-BE49-F238E27FC236}">
                    <a16:creationId xmlns:a16="http://schemas.microsoft.com/office/drawing/2014/main" id="{8FEDA7BF-562B-1D56-3319-B87EC818EF40}"/>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8016" t="35915" r="8861" b="35651"/>
              <a:stretch/>
            </xdr:blipFill>
            <xdr:spPr>
              <a:xfrm>
                <a:off x="123825" y="19050"/>
                <a:ext cx="1876426" cy="361950"/>
              </a:xfrm>
              <a:prstGeom prst="rect">
                <a:avLst/>
              </a:prstGeom>
            </xdr:spPr>
          </xdr:pic>
        </xdr:grpSp>
        <xdr:sp macro="" textlink="">
          <xdr:nvSpPr>
            <xdr:cNvPr id="6" name="Rectangle: Rounded Corners 5">
              <a:extLst>
                <a:ext uri="{FF2B5EF4-FFF2-40B4-BE49-F238E27FC236}">
                  <a16:creationId xmlns:a16="http://schemas.microsoft.com/office/drawing/2014/main" id="{AFE6335E-642D-DF25-95B6-9A4987A2AA27}"/>
                </a:ext>
              </a:extLst>
            </xdr:cNvPr>
            <xdr:cNvSpPr/>
          </xdr:nvSpPr>
          <xdr:spPr>
            <a:xfrm>
              <a:off x="11744325" y="276225"/>
              <a:ext cx="180000" cy="288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grpSp>
      <xdr:pic>
        <xdr:nvPicPr>
          <xdr:cNvPr id="4" name="Graphic 3" descr="Compass outline">
            <a:extLst>
              <a:ext uri="{FF2B5EF4-FFF2-40B4-BE49-F238E27FC236}">
                <a16:creationId xmlns:a16="http://schemas.microsoft.com/office/drawing/2014/main" id="{F50E3F67-D8AA-AB3B-2DBB-3B8A8C52707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838701" y="38101"/>
            <a:ext cx="266700" cy="266700"/>
          </a:xfrm>
          <a:prstGeom prst="rect">
            <a:avLst/>
          </a:prstGeom>
        </xdr:spPr>
      </xdr:pic>
    </xdr:grpSp>
    <xdr:clientData/>
  </xdr:twoCellAnchor>
  <xdr:twoCellAnchor editAs="absolute">
    <xdr:from>
      <xdr:col>1</xdr:col>
      <xdr:colOff>781050</xdr:colOff>
      <xdr:row>3</xdr:row>
      <xdr:rowOff>19050</xdr:rowOff>
    </xdr:from>
    <xdr:to>
      <xdr:col>10</xdr:col>
      <xdr:colOff>6350</xdr:colOff>
      <xdr:row>4</xdr:row>
      <xdr:rowOff>142875</xdr:rowOff>
    </xdr:to>
    <xdr:grpSp>
      <xdr:nvGrpSpPr>
        <xdr:cNvPr id="22" name="Group 21">
          <a:extLst>
            <a:ext uri="{FF2B5EF4-FFF2-40B4-BE49-F238E27FC236}">
              <a16:creationId xmlns:a16="http://schemas.microsoft.com/office/drawing/2014/main" id="{1A5479F2-B85C-460B-823D-30BA27A72A19}"/>
            </a:ext>
          </a:extLst>
        </xdr:cNvPr>
        <xdr:cNvGrpSpPr/>
      </xdr:nvGrpSpPr>
      <xdr:grpSpPr>
        <a:xfrm>
          <a:off x="790575" y="600075"/>
          <a:ext cx="7216775" cy="314325"/>
          <a:chOff x="771525" y="581025"/>
          <a:chExt cx="7162800" cy="314325"/>
        </a:xfrm>
      </xdr:grpSpPr>
      <xdr:grpSp>
        <xdr:nvGrpSpPr>
          <xdr:cNvPr id="30" name="Group 29">
            <a:hlinkClick xmlns:r="http://schemas.openxmlformats.org/officeDocument/2006/relationships" r:id="rId6"/>
            <a:extLst>
              <a:ext uri="{FF2B5EF4-FFF2-40B4-BE49-F238E27FC236}">
                <a16:creationId xmlns:a16="http://schemas.microsoft.com/office/drawing/2014/main" id="{536CB80B-D8FA-81B4-E925-A378BF55C93F}"/>
              </a:ext>
            </a:extLst>
          </xdr:cNvPr>
          <xdr:cNvGrpSpPr/>
        </xdr:nvGrpSpPr>
        <xdr:grpSpPr>
          <a:xfrm>
            <a:off x="771525" y="581025"/>
            <a:ext cx="1247775" cy="314325"/>
            <a:chOff x="190500" y="552450"/>
            <a:chExt cx="1247775" cy="314325"/>
          </a:xfrm>
        </xdr:grpSpPr>
        <xdr:sp macro="" textlink="">
          <xdr:nvSpPr>
            <xdr:cNvPr id="51" name="Rectangle: Rounded Corners 50">
              <a:extLst>
                <a:ext uri="{FF2B5EF4-FFF2-40B4-BE49-F238E27FC236}">
                  <a16:creationId xmlns:a16="http://schemas.microsoft.com/office/drawing/2014/main" id="{B66BEA4A-A727-9501-E9DC-F4F9D28AD522}"/>
                </a:ext>
              </a:extLst>
            </xdr:cNvPr>
            <xdr:cNvSpPr/>
          </xdr:nvSpPr>
          <xdr:spPr>
            <a:xfrm>
              <a:off x="190500"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52" name="TextBox 51">
              <a:extLst>
                <a:ext uri="{FF2B5EF4-FFF2-40B4-BE49-F238E27FC236}">
                  <a16:creationId xmlns:a16="http://schemas.microsoft.com/office/drawing/2014/main" id="{D8BF0DDB-3437-39DB-4D68-5BDF93B5C8D6}"/>
                </a:ext>
              </a:extLst>
            </xdr:cNvPr>
            <xdr:cNvSpPr txBox="1"/>
          </xdr:nvSpPr>
          <xdr:spPr>
            <a:xfrm>
              <a:off x="338137"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solidFill>
                    <a:schemeClr val="bg1"/>
                  </a:solidFill>
                  <a:latin typeface="Avenir Next LT Pro" panose="020B0504020202020204" pitchFamily="34" charset="0"/>
                </a:rPr>
                <a:t>Persediaan</a:t>
              </a:r>
            </a:p>
          </xdr:txBody>
        </xdr:sp>
      </xdr:grpSp>
      <xdr:grpSp>
        <xdr:nvGrpSpPr>
          <xdr:cNvPr id="32" name="Group 31">
            <a:hlinkClick xmlns:r="http://schemas.openxmlformats.org/officeDocument/2006/relationships" r:id="rId11"/>
            <a:extLst>
              <a:ext uri="{FF2B5EF4-FFF2-40B4-BE49-F238E27FC236}">
                <a16:creationId xmlns:a16="http://schemas.microsoft.com/office/drawing/2014/main" id="{6EF28C61-59E0-975B-F683-C4D79037689F}"/>
              </a:ext>
            </a:extLst>
          </xdr:cNvPr>
          <xdr:cNvGrpSpPr/>
        </xdr:nvGrpSpPr>
        <xdr:grpSpPr>
          <a:xfrm>
            <a:off x="2247900" y="581025"/>
            <a:ext cx="1247775" cy="314325"/>
            <a:chOff x="1666875" y="552450"/>
            <a:chExt cx="1247775" cy="314325"/>
          </a:xfrm>
        </xdr:grpSpPr>
        <xdr:sp macro="" textlink="">
          <xdr:nvSpPr>
            <xdr:cNvPr id="43" name="Rectangle: Rounded Corners 42">
              <a:extLst>
                <a:ext uri="{FF2B5EF4-FFF2-40B4-BE49-F238E27FC236}">
                  <a16:creationId xmlns:a16="http://schemas.microsoft.com/office/drawing/2014/main" id="{8723B6DE-20DE-64FE-3F56-1393062A4683}"/>
                </a:ext>
              </a:extLst>
            </xdr:cNvPr>
            <xdr:cNvSpPr/>
          </xdr:nvSpPr>
          <xdr:spPr>
            <a:xfrm>
              <a:off x="16668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50" name="TextBox 49">
              <a:extLst>
                <a:ext uri="{FF2B5EF4-FFF2-40B4-BE49-F238E27FC236}">
                  <a16:creationId xmlns:a16="http://schemas.microsoft.com/office/drawing/2014/main" id="{D85660C7-E088-97E9-43E2-61975112CB8A}"/>
                </a:ext>
              </a:extLst>
            </xdr:cNvPr>
            <xdr:cNvSpPr txBox="1"/>
          </xdr:nvSpPr>
          <xdr:spPr>
            <a:xfrm>
              <a:off x="1814512"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100" b="1">
                  <a:solidFill>
                    <a:schemeClr val="bg1"/>
                  </a:solidFill>
                  <a:latin typeface="Avenir Next LT Pro" panose="020B0504020202020204" pitchFamily="34" charset="0"/>
                </a:rPr>
                <a:t>BTK</a:t>
              </a:r>
            </a:p>
          </xdr:txBody>
        </xdr:sp>
      </xdr:grpSp>
      <xdr:grpSp>
        <xdr:nvGrpSpPr>
          <xdr:cNvPr id="33" name="Group 32">
            <a:extLst>
              <a:ext uri="{FF2B5EF4-FFF2-40B4-BE49-F238E27FC236}">
                <a16:creationId xmlns:a16="http://schemas.microsoft.com/office/drawing/2014/main" id="{0EC29F09-A8D1-210E-3634-55B544C4714A}"/>
              </a:ext>
            </a:extLst>
          </xdr:cNvPr>
          <xdr:cNvGrpSpPr/>
        </xdr:nvGrpSpPr>
        <xdr:grpSpPr>
          <a:xfrm>
            <a:off x="3743325" y="581025"/>
            <a:ext cx="2724150" cy="314325"/>
            <a:chOff x="3162300" y="552450"/>
            <a:chExt cx="2724150" cy="314325"/>
          </a:xfrm>
        </xdr:grpSpPr>
        <xdr:grpSp>
          <xdr:nvGrpSpPr>
            <xdr:cNvPr id="37" name="Group 36">
              <a:hlinkClick xmlns:r="http://schemas.openxmlformats.org/officeDocument/2006/relationships" r:id="rId12"/>
              <a:extLst>
                <a:ext uri="{FF2B5EF4-FFF2-40B4-BE49-F238E27FC236}">
                  <a16:creationId xmlns:a16="http://schemas.microsoft.com/office/drawing/2014/main" id="{BB6E40FD-F7B5-3264-80B3-DA247C8396C6}"/>
                </a:ext>
              </a:extLst>
            </xdr:cNvPr>
            <xdr:cNvGrpSpPr/>
          </xdr:nvGrpSpPr>
          <xdr:grpSpPr>
            <a:xfrm>
              <a:off x="3162300" y="552450"/>
              <a:ext cx="1247775" cy="314325"/>
              <a:chOff x="3162300" y="552450"/>
              <a:chExt cx="1247775" cy="314325"/>
            </a:xfrm>
          </xdr:grpSpPr>
          <xdr:sp macro="" textlink="">
            <xdr:nvSpPr>
              <xdr:cNvPr id="41" name="Rectangle: Rounded Corners 40">
                <a:extLst>
                  <a:ext uri="{FF2B5EF4-FFF2-40B4-BE49-F238E27FC236}">
                    <a16:creationId xmlns:a16="http://schemas.microsoft.com/office/drawing/2014/main" id="{CECB9074-39E5-3CBF-E966-B9142AD24A19}"/>
                  </a:ext>
                </a:extLst>
              </xdr:cNvPr>
              <xdr:cNvSpPr/>
            </xdr:nvSpPr>
            <xdr:spPr>
              <a:xfrm>
                <a:off x="3162300"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2" name="TextBox 41">
                <a:extLst>
                  <a:ext uri="{FF2B5EF4-FFF2-40B4-BE49-F238E27FC236}">
                    <a16:creationId xmlns:a16="http://schemas.microsoft.com/office/drawing/2014/main" id="{82584E8F-67D0-65AE-13A0-1F5273CB3B6E}"/>
                  </a:ext>
                </a:extLst>
              </xdr:cNvPr>
              <xdr:cNvSpPr txBox="1"/>
            </xdr:nvSpPr>
            <xdr:spPr>
              <a:xfrm>
                <a:off x="3309937" y="576262"/>
                <a:ext cx="985838"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solidFill>
                      <a:schemeClr val="bg1"/>
                    </a:solidFill>
                    <a:latin typeface="Avenir Next LT Pro" panose="020B0504020202020204" pitchFamily="34" charset="0"/>
                  </a:rPr>
                  <a:t>Penyusutan</a:t>
                </a:r>
              </a:p>
            </xdr:txBody>
          </xdr:sp>
        </xdr:grpSp>
        <xdr:grpSp>
          <xdr:nvGrpSpPr>
            <xdr:cNvPr id="38" name="Group 37">
              <a:extLst>
                <a:ext uri="{FF2B5EF4-FFF2-40B4-BE49-F238E27FC236}">
                  <a16:creationId xmlns:a16="http://schemas.microsoft.com/office/drawing/2014/main" id="{297B6CA9-A3DB-4212-3B07-A0D80D7E1200}"/>
                </a:ext>
              </a:extLst>
            </xdr:cNvPr>
            <xdr:cNvGrpSpPr/>
          </xdr:nvGrpSpPr>
          <xdr:grpSpPr>
            <a:xfrm>
              <a:off x="4638675" y="552450"/>
              <a:ext cx="1247775" cy="314325"/>
              <a:chOff x="4638675" y="552450"/>
              <a:chExt cx="1247775" cy="314325"/>
            </a:xfrm>
          </xdr:grpSpPr>
          <xdr:sp macro="" textlink="">
            <xdr:nvSpPr>
              <xdr:cNvPr id="39" name="Rectangle: Rounded Corners 38">
                <a:extLst>
                  <a:ext uri="{FF2B5EF4-FFF2-40B4-BE49-F238E27FC236}">
                    <a16:creationId xmlns:a16="http://schemas.microsoft.com/office/drawing/2014/main" id="{14CEA12E-6EBD-569B-7B1A-BC8D9680B725}"/>
                  </a:ext>
                </a:extLst>
              </xdr:cNvPr>
              <xdr:cNvSpPr/>
            </xdr:nvSpPr>
            <xdr:spPr>
              <a:xfrm>
                <a:off x="46386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0" name="TextBox 39">
                <a:hlinkClick xmlns:r="http://schemas.openxmlformats.org/officeDocument/2006/relationships" r:id="rId13"/>
                <a:extLst>
                  <a:ext uri="{FF2B5EF4-FFF2-40B4-BE49-F238E27FC236}">
                    <a16:creationId xmlns:a16="http://schemas.microsoft.com/office/drawing/2014/main" id="{09B33F78-91C3-03CC-0D99-8C3687C3E9FF}"/>
                  </a:ext>
                </a:extLst>
              </xdr:cNvPr>
              <xdr:cNvSpPr txBox="1"/>
            </xdr:nvSpPr>
            <xdr:spPr>
              <a:xfrm>
                <a:off x="4786312" y="576262"/>
                <a:ext cx="1081088"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900" b="1">
                    <a:solidFill>
                      <a:schemeClr val="bg1"/>
                    </a:solidFill>
                    <a:latin typeface="Avenir Next LT Pro" panose="020B0504020202020204" pitchFamily="34" charset="0"/>
                  </a:rPr>
                  <a:t>Aging</a:t>
                </a:r>
                <a:r>
                  <a:rPr lang="en-ID" sz="900" b="1" baseline="0">
                    <a:solidFill>
                      <a:schemeClr val="bg1"/>
                    </a:solidFill>
                    <a:latin typeface="Avenir Next LT Pro" panose="020B0504020202020204" pitchFamily="34" charset="0"/>
                  </a:rPr>
                  <a:t> Schedule</a:t>
                </a:r>
                <a:endParaRPr lang="en-ID" sz="900" b="1">
                  <a:solidFill>
                    <a:schemeClr val="bg1"/>
                  </a:solidFill>
                  <a:latin typeface="Avenir Next LT Pro" panose="020B0504020202020204" pitchFamily="34" charset="0"/>
                </a:endParaRPr>
              </a:p>
            </xdr:txBody>
          </xdr:sp>
        </xdr:grpSp>
      </xdr:grpSp>
      <xdr:grpSp>
        <xdr:nvGrpSpPr>
          <xdr:cNvPr id="34" name="Group 33">
            <a:hlinkClick xmlns:r="http://schemas.openxmlformats.org/officeDocument/2006/relationships" r:id="rId11"/>
            <a:extLst>
              <a:ext uri="{FF2B5EF4-FFF2-40B4-BE49-F238E27FC236}">
                <a16:creationId xmlns:a16="http://schemas.microsoft.com/office/drawing/2014/main" id="{E25E724E-D184-2EE4-E27D-2BBC92EEE07C}"/>
              </a:ext>
            </a:extLst>
          </xdr:cNvPr>
          <xdr:cNvGrpSpPr/>
        </xdr:nvGrpSpPr>
        <xdr:grpSpPr>
          <a:xfrm>
            <a:off x="6686550" y="581025"/>
            <a:ext cx="1247775" cy="314325"/>
            <a:chOff x="1666875" y="552450"/>
            <a:chExt cx="1247775" cy="314325"/>
          </a:xfrm>
        </xdr:grpSpPr>
        <xdr:sp macro="" textlink="">
          <xdr:nvSpPr>
            <xdr:cNvPr id="35" name="Rectangle: Rounded Corners 34">
              <a:extLst>
                <a:ext uri="{FF2B5EF4-FFF2-40B4-BE49-F238E27FC236}">
                  <a16:creationId xmlns:a16="http://schemas.microsoft.com/office/drawing/2014/main" id="{F28256E7-42D2-E5A1-B00C-568F5F650F1C}"/>
                </a:ext>
              </a:extLst>
            </xdr:cNvPr>
            <xdr:cNvSpPr/>
          </xdr:nvSpPr>
          <xdr:spPr>
            <a:xfrm>
              <a:off x="1666875" y="552450"/>
              <a:ext cx="1247775" cy="314325"/>
            </a:xfrm>
            <a:prstGeom prst="round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36" name="TextBox 35">
              <a:hlinkClick xmlns:r="http://schemas.openxmlformats.org/officeDocument/2006/relationships" r:id="rId14" tooltip="Obligasi"/>
              <a:extLst>
                <a:ext uri="{FF2B5EF4-FFF2-40B4-BE49-F238E27FC236}">
                  <a16:creationId xmlns:a16="http://schemas.microsoft.com/office/drawing/2014/main" id="{E23D6322-2E1D-923D-9FD8-10F382FFBE95}"/>
                </a:ext>
              </a:extLst>
            </xdr:cNvPr>
            <xdr:cNvSpPr txBox="1"/>
          </xdr:nvSpPr>
          <xdr:spPr>
            <a:xfrm>
              <a:off x="1814512" y="576262"/>
              <a:ext cx="952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100" b="1">
                  <a:solidFill>
                    <a:schemeClr val="bg1"/>
                  </a:solidFill>
                  <a:latin typeface="Avenir Next LT Pro" panose="020B0504020202020204" pitchFamily="34" charset="0"/>
                </a:rPr>
                <a:t>Liabilities</a:t>
              </a:r>
            </a:p>
          </xdr:txBody>
        </xdr:sp>
      </xdr:grp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390525</xdr:colOff>
      <xdr:row>5</xdr:row>
      <xdr:rowOff>9525</xdr:rowOff>
    </xdr:from>
    <xdr:to>
      <xdr:col>0</xdr:col>
      <xdr:colOff>514350</xdr:colOff>
      <xdr:row>5</xdr:row>
      <xdr:rowOff>123825</xdr:rowOff>
    </xdr:to>
    <xdr:sp macro="" textlink="">
      <xdr:nvSpPr>
        <xdr:cNvPr id="29" name="Rectangle 28">
          <a:extLst>
            <a:ext uri="{FF2B5EF4-FFF2-40B4-BE49-F238E27FC236}">
              <a16:creationId xmlns:a16="http://schemas.microsoft.com/office/drawing/2014/main" id="{556B1DDD-93B0-4D17-8294-E498BC604325}"/>
            </a:ext>
          </a:extLst>
        </xdr:cNvPr>
        <xdr:cNvSpPr/>
      </xdr:nvSpPr>
      <xdr:spPr>
        <a:xfrm>
          <a:off x="390525" y="962025"/>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390525</xdr:colOff>
      <xdr:row>5</xdr:row>
      <xdr:rowOff>161925</xdr:rowOff>
    </xdr:from>
    <xdr:to>
      <xdr:col>0</xdr:col>
      <xdr:colOff>514350</xdr:colOff>
      <xdr:row>6</xdr:row>
      <xdr:rowOff>85725</xdr:rowOff>
    </xdr:to>
    <xdr:sp macro="" textlink="">
      <xdr:nvSpPr>
        <xdr:cNvPr id="30" name="Rectangle 29">
          <a:extLst>
            <a:ext uri="{FF2B5EF4-FFF2-40B4-BE49-F238E27FC236}">
              <a16:creationId xmlns:a16="http://schemas.microsoft.com/office/drawing/2014/main" id="{507B3CD8-FA77-4A6C-8B02-B8D366EE1415}"/>
            </a:ext>
          </a:extLst>
        </xdr:cNvPr>
        <xdr:cNvSpPr/>
      </xdr:nvSpPr>
      <xdr:spPr>
        <a:xfrm>
          <a:off x="390525" y="1114425"/>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390525</xdr:colOff>
      <xdr:row>6</xdr:row>
      <xdr:rowOff>123825</xdr:rowOff>
    </xdr:from>
    <xdr:to>
      <xdr:col>0</xdr:col>
      <xdr:colOff>514350</xdr:colOff>
      <xdr:row>6</xdr:row>
      <xdr:rowOff>238125</xdr:rowOff>
    </xdr:to>
    <xdr:sp macro="" textlink="">
      <xdr:nvSpPr>
        <xdr:cNvPr id="31" name="Rectangle 30">
          <a:extLst>
            <a:ext uri="{FF2B5EF4-FFF2-40B4-BE49-F238E27FC236}">
              <a16:creationId xmlns:a16="http://schemas.microsoft.com/office/drawing/2014/main" id="{CE206CB1-2B2E-4A0C-91B6-799A86768A47}"/>
            </a:ext>
          </a:extLst>
        </xdr:cNvPr>
        <xdr:cNvSpPr/>
      </xdr:nvSpPr>
      <xdr:spPr>
        <a:xfrm>
          <a:off x="390525" y="1266825"/>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581025</xdr:colOff>
      <xdr:row>4</xdr:row>
      <xdr:rowOff>47625</xdr:rowOff>
    </xdr:from>
    <xdr:to>
      <xdr:col>1</xdr:col>
      <xdr:colOff>95250</xdr:colOff>
      <xdr:row>4</xdr:row>
      <xdr:rowOff>161925</xdr:rowOff>
    </xdr:to>
    <xdr:sp macro="" textlink="">
      <xdr:nvSpPr>
        <xdr:cNvPr id="33" name="Rectangle 32">
          <a:extLst>
            <a:ext uri="{FF2B5EF4-FFF2-40B4-BE49-F238E27FC236}">
              <a16:creationId xmlns:a16="http://schemas.microsoft.com/office/drawing/2014/main" id="{F56A81D9-0C3D-4264-ADDD-7212D2DF7955}"/>
            </a:ext>
          </a:extLst>
        </xdr:cNvPr>
        <xdr:cNvSpPr/>
      </xdr:nvSpPr>
      <xdr:spPr>
        <a:xfrm>
          <a:off x="581025" y="809625"/>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581025</xdr:colOff>
      <xdr:row>5</xdr:row>
      <xdr:rowOff>19050</xdr:rowOff>
    </xdr:from>
    <xdr:to>
      <xdr:col>1</xdr:col>
      <xdr:colOff>95250</xdr:colOff>
      <xdr:row>5</xdr:row>
      <xdr:rowOff>133350</xdr:rowOff>
    </xdr:to>
    <xdr:sp macro="" textlink="">
      <xdr:nvSpPr>
        <xdr:cNvPr id="34" name="Rectangle 33">
          <a:extLst>
            <a:ext uri="{FF2B5EF4-FFF2-40B4-BE49-F238E27FC236}">
              <a16:creationId xmlns:a16="http://schemas.microsoft.com/office/drawing/2014/main" id="{EA3E83A2-B10A-40E2-8B6B-8ECA74EE287B}"/>
            </a:ext>
          </a:extLst>
        </xdr:cNvPr>
        <xdr:cNvSpPr/>
      </xdr:nvSpPr>
      <xdr:spPr>
        <a:xfrm>
          <a:off x="581025" y="971550"/>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161925</xdr:colOff>
      <xdr:row>4</xdr:row>
      <xdr:rowOff>57150</xdr:rowOff>
    </xdr:from>
    <xdr:to>
      <xdr:col>1</xdr:col>
      <xdr:colOff>285750</xdr:colOff>
      <xdr:row>4</xdr:row>
      <xdr:rowOff>171450</xdr:rowOff>
    </xdr:to>
    <xdr:sp macro="" textlink="">
      <xdr:nvSpPr>
        <xdr:cNvPr id="52" name="Rectangle 51">
          <a:extLst>
            <a:ext uri="{FF2B5EF4-FFF2-40B4-BE49-F238E27FC236}">
              <a16:creationId xmlns:a16="http://schemas.microsoft.com/office/drawing/2014/main" id="{CE15FE22-D864-4288-B4AC-4AA92FC91C34}"/>
            </a:ext>
          </a:extLst>
        </xdr:cNvPr>
        <xdr:cNvSpPr/>
      </xdr:nvSpPr>
      <xdr:spPr>
        <a:xfrm>
          <a:off x="771525" y="819150"/>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161925</xdr:colOff>
      <xdr:row>5</xdr:row>
      <xdr:rowOff>28575</xdr:rowOff>
    </xdr:from>
    <xdr:to>
      <xdr:col>1</xdr:col>
      <xdr:colOff>285750</xdr:colOff>
      <xdr:row>5</xdr:row>
      <xdr:rowOff>142875</xdr:rowOff>
    </xdr:to>
    <xdr:sp macro="" textlink="">
      <xdr:nvSpPr>
        <xdr:cNvPr id="53" name="Rectangle 52">
          <a:extLst>
            <a:ext uri="{FF2B5EF4-FFF2-40B4-BE49-F238E27FC236}">
              <a16:creationId xmlns:a16="http://schemas.microsoft.com/office/drawing/2014/main" id="{CCDF00A4-0DEF-48C1-8377-8383C4E31999}"/>
            </a:ext>
          </a:extLst>
        </xdr:cNvPr>
        <xdr:cNvSpPr/>
      </xdr:nvSpPr>
      <xdr:spPr>
        <a:xfrm>
          <a:off x="771525" y="981075"/>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390525</xdr:colOff>
      <xdr:row>4</xdr:row>
      <xdr:rowOff>47625</xdr:rowOff>
    </xdr:from>
    <xdr:to>
      <xdr:col>0</xdr:col>
      <xdr:colOff>514350</xdr:colOff>
      <xdr:row>4</xdr:row>
      <xdr:rowOff>161925</xdr:rowOff>
    </xdr:to>
    <xdr:sp macro="" textlink="">
      <xdr:nvSpPr>
        <xdr:cNvPr id="56" name="Rectangle 55">
          <a:extLst>
            <a:ext uri="{FF2B5EF4-FFF2-40B4-BE49-F238E27FC236}">
              <a16:creationId xmlns:a16="http://schemas.microsoft.com/office/drawing/2014/main" id="{842857D4-BECD-41EC-B243-8A5C37E62AF4}"/>
            </a:ext>
          </a:extLst>
        </xdr:cNvPr>
        <xdr:cNvSpPr/>
      </xdr:nvSpPr>
      <xdr:spPr>
        <a:xfrm>
          <a:off x="390525" y="809625"/>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editAs="absolute">
    <xdr:from>
      <xdr:col>4</xdr:col>
      <xdr:colOff>371475</xdr:colOff>
      <xdr:row>2</xdr:row>
      <xdr:rowOff>95250</xdr:rowOff>
    </xdr:from>
    <xdr:to>
      <xdr:col>6</xdr:col>
      <xdr:colOff>971551</xdr:colOff>
      <xdr:row>5</xdr:row>
      <xdr:rowOff>66675</xdr:rowOff>
    </xdr:to>
    <xdr:grpSp>
      <xdr:nvGrpSpPr>
        <xdr:cNvPr id="5" name="Group 4">
          <a:hlinkClick xmlns:r="http://schemas.openxmlformats.org/officeDocument/2006/relationships" r:id="rId1"/>
          <a:extLst>
            <a:ext uri="{FF2B5EF4-FFF2-40B4-BE49-F238E27FC236}">
              <a16:creationId xmlns:a16="http://schemas.microsoft.com/office/drawing/2014/main" id="{5717AA42-232D-5262-6103-8F17B71B3AB4}"/>
            </a:ext>
          </a:extLst>
        </xdr:cNvPr>
        <xdr:cNvGrpSpPr/>
      </xdr:nvGrpSpPr>
      <xdr:grpSpPr>
        <a:xfrm>
          <a:off x="5438775" y="476250"/>
          <a:ext cx="2867026" cy="542925"/>
          <a:chOff x="6496050" y="476250"/>
          <a:chExt cx="3060882" cy="542925"/>
        </a:xfrm>
      </xdr:grpSpPr>
      <xdr:sp macro="" textlink="">
        <xdr:nvSpPr>
          <xdr:cNvPr id="2" name="TextBox 1">
            <a:hlinkClick xmlns:r="http://schemas.openxmlformats.org/officeDocument/2006/relationships" r:id="rId1"/>
            <a:extLst>
              <a:ext uri="{FF2B5EF4-FFF2-40B4-BE49-F238E27FC236}">
                <a16:creationId xmlns:a16="http://schemas.microsoft.com/office/drawing/2014/main" id="{C3B2B415-0983-4B5C-882C-1860213C0339}"/>
              </a:ext>
            </a:extLst>
          </xdr:cNvPr>
          <xdr:cNvSpPr txBox="1"/>
        </xdr:nvSpPr>
        <xdr:spPr>
          <a:xfrm>
            <a:off x="6496050" y="476250"/>
            <a:ext cx="2857500" cy="5429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2800" kern="1200">
                <a:solidFill>
                  <a:schemeClr val="bg1"/>
                </a:solidFill>
                <a:latin typeface="Avenir Next LT Pro" panose="020B0504020202020204" pitchFamily="34" charset="0"/>
              </a:rPr>
              <a:t>Transaksi Harian</a:t>
            </a:r>
            <a:endParaRPr lang="en-ID" sz="2800" kern="1200" baseline="0">
              <a:solidFill>
                <a:schemeClr val="bg1"/>
              </a:solidFill>
              <a:latin typeface="Avenir Next LT Pro" panose="020B0504020202020204" pitchFamily="34" charset="0"/>
            </a:endParaRPr>
          </a:p>
        </xdr:txBody>
      </xdr:sp>
      <xdr:pic>
        <xdr:nvPicPr>
          <xdr:cNvPr id="60" name="Graphic 59" descr="Wallet with solid fill">
            <a:extLst>
              <a:ext uri="{FF2B5EF4-FFF2-40B4-BE49-F238E27FC236}">
                <a16:creationId xmlns:a16="http://schemas.microsoft.com/office/drawing/2014/main" id="{9C07BE8D-3187-83A3-74CC-32BA1B5C18F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328334" y="504827"/>
            <a:ext cx="228598" cy="228598"/>
          </a:xfrm>
          <a:prstGeom prst="rect">
            <a:avLst/>
          </a:prstGeom>
        </xdr:spPr>
      </xdr:pic>
    </xdr:grpSp>
    <xdr:clientData/>
  </xdr:twoCellAnchor>
  <xdr:twoCellAnchor editAs="absolute">
    <xdr:from>
      <xdr:col>1</xdr:col>
      <xdr:colOff>733425</xdr:colOff>
      <xdr:row>3</xdr:row>
      <xdr:rowOff>133350</xdr:rowOff>
    </xdr:from>
    <xdr:to>
      <xdr:col>2</xdr:col>
      <xdr:colOff>485775</xdr:colOff>
      <xdr:row>5</xdr:row>
      <xdr:rowOff>95250</xdr:rowOff>
    </xdr:to>
    <xdr:grpSp>
      <xdr:nvGrpSpPr>
        <xdr:cNvPr id="6" name="Group 5">
          <a:hlinkClick xmlns:r="http://schemas.openxmlformats.org/officeDocument/2006/relationships" r:id="rId4"/>
          <a:extLst>
            <a:ext uri="{FF2B5EF4-FFF2-40B4-BE49-F238E27FC236}">
              <a16:creationId xmlns:a16="http://schemas.microsoft.com/office/drawing/2014/main" id="{16E0AFE1-46D5-C042-346B-84FFFE43DE70}"/>
            </a:ext>
          </a:extLst>
        </xdr:cNvPr>
        <xdr:cNvGrpSpPr/>
      </xdr:nvGrpSpPr>
      <xdr:grpSpPr>
        <a:xfrm>
          <a:off x="1343025" y="704850"/>
          <a:ext cx="1152525" cy="342900"/>
          <a:chOff x="1343025" y="704850"/>
          <a:chExt cx="1266825" cy="342900"/>
        </a:xfrm>
      </xdr:grpSpPr>
      <xdr:sp macro="" textlink="">
        <xdr:nvSpPr>
          <xdr:cNvPr id="9" name="Rectangle: Rounded Corners 8">
            <a:extLst>
              <a:ext uri="{FF2B5EF4-FFF2-40B4-BE49-F238E27FC236}">
                <a16:creationId xmlns:a16="http://schemas.microsoft.com/office/drawing/2014/main" id="{2C5EE202-FF66-AD0A-8A30-0526B73DA321}"/>
              </a:ext>
            </a:extLst>
          </xdr:cNvPr>
          <xdr:cNvSpPr/>
        </xdr:nvSpPr>
        <xdr:spPr>
          <a:xfrm>
            <a:off x="1343025" y="704850"/>
            <a:ext cx="1266825" cy="342900"/>
          </a:xfrm>
          <a:prstGeom prst="round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REF!">
        <xdr:nvSpPr>
          <xdr:cNvPr id="10" name="TextBox 9">
            <a:extLst>
              <a:ext uri="{FF2B5EF4-FFF2-40B4-BE49-F238E27FC236}">
                <a16:creationId xmlns:a16="http://schemas.microsoft.com/office/drawing/2014/main" id="{1FDD1FD0-5210-98D3-B2C4-800999878285}"/>
              </a:ext>
            </a:extLst>
          </xdr:cNvPr>
          <xdr:cNvSpPr txBox="1"/>
        </xdr:nvSpPr>
        <xdr:spPr>
          <a:xfrm>
            <a:off x="1389944" y="714375"/>
            <a:ext cx="1172986" cy="31008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D" sz="1200" b="1" kern="1200" baseline="0">
                <a:solidFill>
                  <a:schemeClr val="bg1"/>
                </a:solidFill>
                <a:latin typeface="Avenir Next LT Pro" panose="020B0504020202020204" pitchFamily="34" charset="0"/>
              </a:rPr>
              <a:t>Bukti Transaksi</a:t>
            </a:r>
          </a:p>
        </xdr:txBody>
      </xdr:sp>
    </xdr:grpSp>
    <xdr:clientData/>
  </xdr:twoCellAnchor>
  <xdr:twoCellAnchor editAs="absolute">
    <xdr:from>
      <xdr:col>0</xdr:col>
      <xdr:colOff>0</xdr:colOff>
      <xdr:row>0</xdr:row>
      <xdr:rowOff>9525</xdr:rowOff>
    </xdr:from>
    <xdr:to>
      <xdr:col>12</xdr:col>
      <xdr:colOff>352426</xdr:colOff>
      <xdr:row>2</xdr:row>
      <xdr:rowOff>9525</xdr:rowOff>
    </xdr:to>
    <xdr:grpSp>
      <xdr:nvGrpSpPr>
        <xdr:cNvPr id="3" name="Group 2">
          <a:extLst>
            <a:ext uri="{FF2B5EF4-FFF2-40B4-BE49-F238E27FC236}">
              <a16:creationId xmlns:a16="http://schemas.microsoft.com/office/drawing/2014/main" id="{6D6559D3-9306-4B9C-8843-5E13DCDC3B9D}"/>
            </a:ext>
          </a:extLst>
        </xdr:cNvPr>
        <xdr:cNvGrpSpPr/>
      </xdr:nvGrpSpPr>
      <xdr:grpSpPr>
        <a:xfrm>
          <a:off x="0" y="9525"/>
          <a:ext cx="13554076" cy="381000"/>
          <a:chOff x="0" y="0"/>
          <a:chExt cx="13554076" cy="381000"/>
        </a:xfrm>
      </xdr:grpSpPr>
      <xdr:grpSp>
        <xdr:nvGrpSpPr>
          <xdr:cNvPr id="7" name="Group 6">
            <a:extLst>
              <a:ext uri="{FF2B5EF4-FFF2-40B4-BE49-F238E27FC236}">
                <a16:creationId xmlns:a16="http://schemas.microsoft.com/office/drawing/2014/main" id="{FACB2E5E-9378-DAC5-619E-18D6D906A64A}"/>
              </a:ext>
            </a:extLst>
          </xdr:cNvPr>
          <xdr:cNvGrpSpPr/>
        </xdr:nvGrpSpPr>
        <xdr:grpSpPr>
          <a:xfrm>
            <a:off x="0" y="0"/>
            <a:ext cx="13554076" cy="381000"/>
            <a:chOff x="0" y="0"/>
            <a:chExt cx="13554076" cy="381000"/>
          </a:xfrm>
        </xdr:grpSpPr>
        <xdr:grpSp>
          <xdr:nvGrpSpPr>
            <xdr:cNvPr id="12" name="Group 11">
              <a:extLst>
                <a:ext uri="{FF2B5EF4-FFF2-40B4-BE49-F238E27FC236}">
                  <a16:creationId xmlns:a16="http://schemas.microsoft.com/office/drawing/2014/main" id="{3C678AC3-4843-35A9-2DC1-44481DA19847}"/>
                </a:ext>
              </a:extLst>
            </xdr:cNvPr>
            <xdr:cNvGrpSpPr/>
          </xdr:nvGrpSpPr>
          <xdr:grpSpPr>
            <a:xfrm>
              <a:off x="0" y="0"/>
              <a:ext cx="13554076" cy="381000"/>
              <a:chOff x="0" y="0"/>
              <a:chExt cx="13554076" cy="381000"/>
            </a:xfrm>
          </xdr:grpSpPr>
          <xdr:grpSp>
            <xdr:nvGrpSpPr>
              <xdr:cNvPr id="14" name="Group 13">
                <a:extLst>
                  <a:ext uri="{FF2B5EF4-FFF2-40B4-BE49-F238E27FC236}">
                    <a16:creationId xmlns:a16="http://schemas.microsoft.com/office/drawing/2014/main" id="{458AFCCE-573D-4BF6-E4DD-3484F59388E0}"/>
                  </a:ext>
                </a:extLst>
              </xdr:cNvPr>
              <xdr:cNvGrpSpPr/>
            </xdr:nvGrpSpPr>
            <xdr:grpSpPr>
              <a:xfrm>
                <a:off x="0" y="0"/>
                <a:ext cx="13554076" cy="360000"/>
                <a:chOff x="0" y="0"/>
                <a:chExt cx="13554076" cy="352424"/>
              </a:xfr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2700000" scaled="1"/>
                <a:tileRect/>
              </a:gradFill>
              <a:effectLst>
                <a:outerShdw blurRad="50800" dist="38100" dir="5400000" algn="t" rotWithShape="0">
                  <a:prstClr val="black">
                    <a:alpha val="40000"/>
                  </a:prstClr>
                </a:outerShdw>
              </a:effectLst>
            </xdr:grpSpPr>
            <xdr:sp macro="" textlink="">
              <xdr:nvSpPr>
                <xdr:cNvPr id="39" name="Rectangle 38">
                  <a:extLst>
                    <a:ext uri="{FF2B5EF4-FFF2-40B4-BE49-F238E27FC236}">
                      <a16:creationId xmlns:a16="http://schemas.microsoft.com/office/drawing/2014/main" id="{21275FD1-5B48-C999-F07C-69A1CF7A85D6}"/>
                    </a:ext>
                  </a:extLst>
                </xdr:cNvPr>
                <xdr:cNvSpPr/>
              </xdr:nvSpPr>
              <xdr:spPr>
                <a:xfrm>
                  <a:off x="0" y="0"/>
                  <a:ext cx="13554076" cy="352424"/>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40" name="TextBox 39">
                  <a:hlinkClick xmlns:r="http://schemas.openxmlformats.org/officeDocument/2006/relationships" r:id="rId5" tooltip="Reports"/>
                  <a:extLst>
                    <a:ext uri="{FF2B5EF4-FFF2-40B4-BE49-F238E27FC236}">
                      <a16:creationId xmlns:a16="http://schemas.microsoft.com/office/drawing/2014/main" id="{ADFA71FC-6D25-CA7A-726C-203E7F7B835C}"/>
                    </a:ext>
                  </a:extLst>
                </xdr:cNvPr>
                <xdr:cNvSpPr txBox="1"/>
              </xdr:nvSpPr>
              <xdr:spPr>
                <a:xfrm>
                  <a:off x="10187147" y="37499"/>
                  <a:ext cx="986167"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Reports</a:t>
                  </a:r>
                </a:p>
              </xdr:txBody>
            </xdr:sp>
            <xdr:sp macro="" textlink="">
              <xdr:nvSpPr>
                <xdr:cNvPr id="41" name="TextBox 40">
                  <a:hlinkClick xmlns:r="http://schemas.openxmlformats.org/officeDocument/2006/relationships" r:id="rId6" tooltip="Project Status"/>
                  <a:extLst>
                    <a:ext uri="{FF2B5EF4-FFF2-40B4-BE49-F238E27FC236}">
                      <a16:creationId xmlns:a16="http://schemas.microsoft.com/office/drawing/2014/main" id="{180FC7BF-E434-D42C-9671-7BCCAD8B6A87}"/>
                    </a:ext>
                  </a:extLst>
                </xdr:cNvPr>
                <xdr:cNvSpPr txBox="1"/>
              </xdr:nvSpPr>
              <xdr:spPr>
                <a:xfrm>
                  <a:off x="10855602"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Dashboard</a:t>
                  </a:r>
                </a:p>
              </xdr:txBody>
            </xdr:sp>
            <xdr:sp macro="" textlink="">
              <xdr:nvSpPr>
                <xdr:cNvPr id="42" name="TextBox 41">
                  <a:hlinkClick xmlns:r="http://schemas.openxmlformats.org/officeDocument/2006/relationships" r:id="rId7" tooltip="Income Sources"/>
                  <a:extLst>
                    <a:ext uri="{FF2B5EF4-FFF2-40B4-BE49-F238E27FC236}">
                      <a16:creationId xmlns:a16="http://schemas.microsoft.com/office/drawing/2014/main" id="{51FDE997-674D-1F92-0061-08BC9ED6E302}"/>
                    </a:ext>
                  </a:extLst>
                </xdr:cNvPr>
                <xdr:cNvSpPr txBox="1"/>
              </xdr:nvSpPr>
              <xdr:spPr>
                <a:xfrm>
                  <a:off x="7702827" y="28575"/>
                  <a:ext cx="1212640"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Genenral</a:t>
                  </a:r>
                  <a:r>
                    <a:rPr lang="en-ID" sz="1100" kern="1200" baseline="0">
                      <a:solidFill>
                        <a:schemeClr val="bg1"/>
                      </a:solidFill>
                      <a:latin typeface="Avenir Next LT Pro" panose="020B0504020202020204" pitchFamily="34" charset="0"/>
                    </a:rPr>
                    <a:t> Journal</a:t>
                  </a:r>
                  <a:endParaRPr lang="en-ID" sz="1100" kern="1200">
                    <a:solidFill>
                      <a:schemeClr val="bg1"/>
                    </a:solidFill>
                    <a:latin typeface="Avenir Next LT Pro" panose="020B0504020202020204" pitchFamily="34" charset="0"/>
                  </a:endParaRPr>
                </a:p>
              </xdr:txBody>
            </xdr:sp>
            <xdr:sp macro="" textlink="">
              <xdr:nvSpPr>
                <xdr:cNvPr id="43" name="TextBox 42">
                  <a:hlinkClick xmlns:r="http://schemas.openxmlformats.org/officeDocument/2006/relationships" r:id="rId8" tooltip="RAPBO"/>
                  <a:extLst>
                    <a:ext uri="{FF2B5EF4-FFF2-40B4-BE49-F238E27FC236}">
                      <a16:creationId xmlns:a16="http://schemas.microsoft.com/office/drawing/2014/main" id="{E3AD7F7A-00DC-9792-ECFE-EFDBDC74655E}"/>
                    </a:ext>
                  </a:extLst>
                </xdr:cNvPr>
                <xdr:cNvSpPr txBox="1"/>
              </xdr:nvSpPr>
              <xdr:spPr>
                <a:xfrm>
                  <a:off x="9045431" y="28575"/>
                  <a:ext cx="1193944"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General</a:t>
                  </a:r>
                  <a:r>
                    <a:rPr lang="en-ID" sz="1100" kern="1200" baseline="0">
                      <a:solidFill>
                        <a:schemeClr val="bg1"/>
                      </a:solidFill>
                      <a:latin typeface="Avenir Next LT Pro" panose="020B0504020202020204" pitchFamily="34" charset="0"/>
                    </a:rPr>
                    <a:t> Ledger</a:t>
                  </a:r>
                  <a:endParaRPr lang="en-ID" sz="1100" kern="1200">
                    <a:solidFill>
                      <a:schemeClr val="bg1"/>
                    </a:solidFill>
                    <a:latin typeface="Avenir Next LT Pro" panose="020B0504020202020204" pitchFamily="34" charset="0"/>
                  </a:endParaRPr>
                </a:p>
              </xdr:txBody>
            </xdr:sp>
            <xdr:grpSp>
              <xdr:nvGrpSpPr>
                <xdr:cNvPr id="44" name="Group 43">
                  <a:extLst>
                    <a:ext uri="{FF2B5EF4-FFF2-40B4-BE49-F238E27FC236}">
                      <a16:creationId xmlns:a16="http://schemas.microsoft.com/office/drawing/2014/main" id="{9BCCA241-9DED-6CB5-7E9A-5F7846A1EC3A}"/>
                    </a:ext>
                  </a:extLst>
                </xdr:cNvPr>
                <xdr:cNvGrpSpPr/>
              </xdr:nvGrpSpPr>
              <xdr:grpSpPr>
                <a:xfrm>
                  <a:off x="5016777" y="28575"/>
                  <a:ext cx="802998" cy="263405"/>
                  <a:chOff x="5016777" y="47625"/>
                  <a:chExt cx="802998" cy="263405"/>
                </a:xfrm>
                <a:grpFill/>
              </xdr:grpSpPr>
              <xdr:sp macro="" textlink="">
                <xdr:nvSpPr>
                  <xdr:cNvPr id="47" name="TextBox 46">
                    <a:hlinkClick xmlns:r="http://schemas.openxmlformats.org/officeDocument/2006/relationships" r:id="rId9" tooltip="Urbane Stitch Store"/>
                    <a:extLst>
                      <a:ext uri="{FF2B5EF4-FFF2-40B4-BE49-F238E27FC236}">
                        <a16:creationId xmlns:a16="http://schemas.microsoft.com/office/drawing/2014/main" id="{9A024CC3-FDDD-F3F1-14DC-6CE3475724DE}"/>
                      </a:ext>
                    </a:extLst>
                  </xdr:cNvPr>
                  <xdr:cNvSpPr txBox="1"/>
                </xdr:nvSpPr>
                <xdr:spPr>
                  <a:xfrm>
                    <a:off x="5016777" y="47625"/>
                    <a:ext cx="659861"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Browse</a:t>
                    </a:r>
                  </a:p>
                </xdr:txBody>
              </xdr:sp>
              <xdr:grpSp>
                <xdr:nvGrpSpPr>
                  <xdr:cNvPr id="48" name="Graphic 10" descr="Compass outline">
                    <a:extLst>
                      <a:ext uri="{FF2B5EF4-FFF2-40B4-BE49-F238E27FC236}">
                        <a16:creationId xmlns:a16="http://schemas.microsoft.com/office/drawing/2014/main" id="{193DE2E6-5E02-16EC-278A-164BB38AC331}"/>
                      </a:ext>
                    </a:extLst>
                  </xdr:cNvPr>
                  <xdr:cNvGrpSpPr/>
                </xdr:nvGrpSpPr>
                <xdr:grpSpPr>
                  <a:xfrm>
                    <a:off x="5629275" y="85725"/>
                    <a:ext cx="190500" cy="190500"/>
                    <a:chOff x="5638800" y="1485900"/>
                    <a:chExt cx="609600" cy="609600"/>
                  </a:xfrm>
                  <a:grpFill/>
                </xdr:grpSpPr>
                <xdr:sp macro="" textlink="">
                  <xdr:nvSpPr>
                    <xdr:cNvPr id="49" name="Freeform: Shape 48">
                      <a:extLst>
                        <a:ext uri="{FF2B5EF4-FFF2-40B4-BE49-F238E27FC236}">
                          <a16:creationId xmlns:a16="http://schemas.microsoft.com/office/drawing/2014/main" id="{5AC26C6B-EF29-9443-7E66-B02F22563B87}"/>
                        </a:ext>
                      </a:extLst>
                    </xdr:cNvPr>
                    <xdr:cNvSpPr/>
                  </xdr:nvSpPr>
                  <xdr:spPr>
                    <a:xfrm>
                      <a:off x="5638800" y="1485900"/>
                      <a:ext cx="609600" cy="609600"/>
                    </a:xfrm>
                    <a:custGeom>
                      <a:avLst/>
                      <a:gdLst>
                        <a:gd name="connsiteX0" fmla="*/ 304800 w 609600"/>
                        <a:gd name="connsiteY0" fmla="*/ 19050 h 609600"/>
                        <a:gd name="connsiteX1" fmla="*/ 590550 w 609600"/>
                        <a:gd name="connsiteY1" fmla="*/ 304800 h 609600"/>
                        <a:gd name="connsiteX2" fmla="*/ 304800 w 609600"/>
                        <a:gd name="connsiteY2" fmla="*/ 590550 h 609600"/>
                        <a:gd name="connsiteX3" fmla="*/ 19050 w 609600"/>
                        <a:gd name="connsiteY3" fmla="*/ 304800 h 609600"/>
                        <a:gd name="connsiteX4" fmla="*/ 304800 w 609600"/>
                        <a:gd name="connsiteY4" fmla="*/ 19050 h 609600"/>
                        <a:gd name="connsiteX5" fmla="*/ 304800 w 609600"/>
                        <a:gd name="connsiteY5" fmla="*/ 0 h 609600"/>
                        <a:gd name="connsiteX6" fmla="*/ 0 w 609600"/>
                        <a:gd name="connsiteY6" fmla="*/ 304800 h 609600"/>
                        <a:gd name="connsiteX7" fmla="*/ 304800 w 609600"/>
                        <a:gd name="connsiteY7" fmla="*/ 609600 h 609600"/>
                        <a:gd name="connsiteX8" fmla="*/ 609600 w 609600"/>
                        <a:gd name="connsiteY8" fmla="*/ 304800 h 609600"/>
                        <a:gd name="connsiteX9" fmla="*/ 304800 w 609600"/>
                        <a:gd name="connsiteY9" fmla="*/ 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609600" h="609600">
                          <a:moveTo>
                            <a:pt x="304800" y="19050"/>
                          </a:moveTo>
                          <a:cubicBezTo>
                            <a:pt x="462615" y="19050"/>
                            <a:pt x="590550" y="146985"/>
                            <a:pt x="590550" y="304800"/>
                          </a:cubicBezTo>
                          <a:cubicBezTo>
                            <a:pt x="590550" y="462615"/>
                            <a:pt x="462615" y="590550"/>
                            <a:pt x="304800" y="590550"/>
                          </a:cubicBezTo>
                          <a:cubicBezTo>
                            <a:pt x="146985" y="590550"/>
                            <a:pt x="19050" y="462615"/>
                            <a:pt x="19050" y="304800"/>
                          </a:cubicBezTo>
                          <a:cubicBezTo>
                            <a:pt x="19228" y="147058"/>
                            <a:pt x="147058" y="19228"/>
                            <a:pt x="304800" y="19050"/>
                          </a:cubicBezTo>
                          <a:moveTo>
                            <a:pt x="304800" y="0"/>
                          </a:moveTo>
                          <a:cubicBezTo>
                            <a:pt x="136464" y="0"/>
                            <a:pt x="0" y="136464"/>
                            <a:pt x="0" y="304800"/>
                          </a:cubicBezTo>
                          <a:cubicBezTo>
                            <a:pt x="0" y="473136"/>
                            <a:pt x="136464" y="609600"/>
                            <a:pt x="304800" y="609600"/>
                          </a:cubicBezTo>
                          <a:cubicBezTo>
                            <a:pt x="473136" y="609600"/>
                            <a:pt x="609600" y="473136"/>
                            <a:pt x="609600" y="304800"/>
                          </a:cubicBezTo>
                          <a:cubicBezTo>
                            <a:pt x="609411" y="136542"/>
                            <a:pt x="473058" y="189"/>
                            <a:pt x="304800" y="0"/>
                          </a:cubicBezTo>
                          <a:close/>
                        </a:path>
                      </a:pathLst>
                    </a:custGeom>
                    <a:grpFill/>
                    <a:ln w="9525" cap="flat">
                      <a:noFill/>
                      <a:prstDash val="solid"/>
                      <a:miter/>
                    </a:ln>
                  </xdr:spPr>
                  <xdr:txBody>
                    <a:bodyPr rtlCol="0" anchor="ctr"/>
                    <a:lstStyle/>
                    <a:p>
                      <a:endParaRPr lang="en-ID"/>
                    </a:p>
                  </xdr:txBody>
                </xdr:sp>
                <xdr:sp macro="" textlink="">
                  <xdr:nvSpPr>
                    <xdr:cNvPr id="50" name="Freeform: Shape 49">
                      <a:extLst>
                        <a:ext uri="{FF2B5EF4-FFF2-40B4-BE49-F238E27FC236}">
                          <a16:creationId xmlns:a16="http://schemas.microsoft.com/office/drawing/2014/main" id="{05C7258E-C68D-5925-4C8C-D84C96D712E2}"/>
                        </a:ext>
                      </a:extLst>
                    </xdr:cNvPr>
                    <xdr:cNvSpPr/>
                  </xdr:nvSpPr>
                  <xdr:spPr>
                    <a:xfrm>
                      <a:off x="5795010" y="1644014"/>
                      <a:ext cx="295275" cy="295275"/>
                    </a:xfrm>
                    <a:custGeom>
                      <a:avLst/>
                      <a:gdLst>
                        <a:gd name="connsiteX0" fmla="*/ 194939 w 295275"/>
                        <a:gd name="connsiteY0" fmla="*/ 194948 h 295275"/>
                        <a:gd name="connsiteX1" fmla="*/ 35023 w 295275"/>
                        <a:gd name="connsiteY1" fmla="*/ 260366 h 295275"/>
                        <a:gd name="connsiteX2" fmla="*/ 100336 w 295275"/>
                        <a:gd name="connsiteY2" fmla="*/ 102175 h 295275"/>
                        <a:gd name="connsiteX3" fmla="*/ 260252 w 295275"/>
                        <a:gd name="connsiteY3" fmla="*/ 35290 h 295275"/>
                        <a:gd name="connsiteX4" fmla="*/ 85725 w 295275"/>
                        <a:gd name="connsiteY4" fmla="*/ 87630 h 295275"/>
                        <a:gd name="connsiteX5" fmla="*/ 0 w 295275"/>
                        <a:gd name="connsiteY5" fmla="*/ 295275 h 295275"/>
                        <a:gd name="connsiteX6" fmla="*/ 209550 w 295275"/>
                        <a:gd name="connsiteY6" fmla="*/ 209550 h 295275"/>
                        <a:gd name="connsiteX7" fmla="*/ 295275 w 295275"/>
                        <a:gd name="connsiteY7" fmla="*/ 0 h 295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95275" h="295275">
                          <a:moveTo>
                            <a:pt x="194939" y="194948"/>
                          </a:moveTo>
                          <a:lnTo>
                            <a:pt x="35023" y="260366"/>
                          </a:lnTo>
                          <a:lnTo>
                            <a:pt x="100336" y="102175"/>
                          </a:lnTo>
                          <a:lnTo>
                            <a:pt x="260252" y="35290"/>
                          </a:lnTo>
                          <a:close/>
                          <a:moveTo>
                            <a:pt x="85725" y="87630"/>
                          </a:moveTo>
                          <a:lnTo>
                            <a:pt x="0" y="295275"/>
                          </a:lnTo>
                          <a:lnTo>
                            <a:pt x="209550" y="209550"/>
                          </a:lnTo>
                          <a:lnTo>
                            <a:pt x="295275" y="0"/>
                          </a:lnTo>
                          <a:close/>
                        </a:path>
                      </a:pathLst>
                    </a:custGeom>
                    <a:grpFill/>
                    <a:ln w="9525" cap="flat">
                      <a:noFill/>
                      <a:prstDash val="solid"/>
                      <a:miter/>
                    </a:ln>
                  </xdr:spPr>
                  <xdr:txBody>
                    <a:bodyPr rtlCol="0" anchor="ctr"/>
                    <a:lstStyle/>
                    <a:p>
                      <a:endParaRPr lang="en-ID"/>
                    </a:p>
                  </xdr:txBody>
                </xdr:sp>
                <xdr:sp macro="" textlink="">
                  <xdr:nvSpPr>
                    <xdr:cNvPr id="51" name="Freeform: Shape 50">
                      <a:extLst>
                        <a:ext uri="{FF2B5EF4-FFF2-40B4-BE49-F238E27FC236}">
                          <a16:creationId xmlns:a16="http://schemas.microsoft.com/office/drawing/2014/main" id="{823DCA5F-7DC3-FEDA-A274-C42AE7013C96}"/>
                        </a:ext>
                      </a:extLst>
                    </xdr:cNvPr>
                    <xdr:cNvSpPr/>
                  </xdr:nvSpPr>
                  <xdr:spPr>
                    <a:xfrm>
                      <a:off x="5924550" y="1771650"/>
                      <a:ext cx="38100" cy="38100"/>
                    </a:xfrm>
                    <a:custGeom>
                      <a:avLst/>
                      <a:gdLst>
                        <a:gd name="connsiteX0" fmla="*/ 38100 w 38100"/>
                        <a:gd name="connsiteY0" fmla="*/ 19050 h 38100"/>
                        <a:gd name="connsiteX1" fmla="*/ 19050 w 38100"/>
                        <a:gd name="connsiteY1" fmla="*/ 38100 h 38100"/>
                        <a:gd name="connsiteX2" fmla="*/ 0 w 38100"/>
                        <a:gd name="connsiteY2" fmla="*/ 19050 h 38100"/>
                        <a:gd name="connsiteX3" fmla="*/ 19050 w 38100"/>
                        <a:gd name="connsiteY3" fmla="*/ 0 h 38100"/>
                        <a:gd name="connsiteX4" fmla="*/ 38100 w 38100"/>
                        <a:gd name="connsiteY4" fmla="*/ 19050 h 381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8100" h="38100">
                          <a:moveTo>
                            <a:pt x="38100" y="19050"/>
                          </a:moveTo>
                          <a:cubicBezTo>
                            <a:pt x="38100" y="29571"/>
                            <a:pt x="29571" y="38100"/>
                            <a:pt x="19050" y="38100"/>
                          </a:cubicBezTo>
                          <a:cubicBezTo>
                            <a:pt x="8529" y="38100"/>
                            <a:pt x="0" y="29571"/>
                            <a:pt x="0" y="19050"/>
                          </a:cubicBezTo>
                          <a:cubicBezTo>
                            <a:pt x="0" y="8529"/>
                            <a:pt x="8529" y="0"/>
                            <a:pt x="19050" y="0"/>
                          </a:cubicBezTo>
                          <a:cubicBezTo>
                            <a:pt x="29571" y="0"/>
                            <a:pt x="38100" y="8529"/>
                            <a:pt x="38100" y="19050"/>
                          </a:cubicBezTo>
                          <a:close/>
                        </a:path>
                      </a:pathLst>
                    </a:custGeom>
                    <a:grpFill/>
                    <a:ln w="9525" cap="flat">
                      <a:noFill/>
                      <a:prstDash val="solid"/>
                      <a:miter/>
                    </a:ln>
                  </xdr:spPr>
                  <xdr:txBody>
                    <a:bodyPr rtlCol="0" anchor="ctr"/>
                    <a:lstStyle/>
                    <a:p>
                      <a:endParaRPr lang="en-ID"/>
                    </a:p>
                  </xdr:txBody>
                </xdr:sp>
              </xdr:grpSp>
            </xdr:grpSp>
            <xdr:sp macro="" textlink="">
              <xdr:nvSpPr>
                <xdr:cNvPr id="45" name="Rectangle: Rounded Corners 44">
                  <a:extLst>
                    <a:ext uri="{FF2B5EF4-FFF2-40B4-BE49-F238E27FC236}">
                      <a16:creationId xmlns:a16="http://schemas.microsoft.com/office/drawing/2014/main" id="{6DE347BC-940C-F010-EB5C-47507B2C18C0}"/>
                    </a:ext>
                  </a:extLst>
                </xdr:cNvPr>
                <xdr:cNvSpPr/>
              </xdr:nvSpPr>
              <xdr:spPr>
                <a:xfrm>
                  <a:off x="11382375" y="257175"/>
                  <a:ext cx="180000" cy="28800"/>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46" name="TextBox 45">
                  <a:hlinkClick xmlns:r="http://schemas.openxmlformats.org/officeDocument/2006/relationships" r:id="rId10" tooltip="Project Status"/>
                  <a:extLst>
                    <a:ext uri="{FF2B5EF4-FFF2-40B4-BE49-F238E27FC236}">
                      <a16:creationId xmlns:a16="http://schemas.microsoft.com/office/drawing/2014/main" id="{5672BC90-9236-BB18-39D2-174BA4ADD3BF}"/>
                    </a:ext>
                  </a:extLst>
                </xdr:cNvPr>
                <xdr:cNvSpPr txBox="1"/>
              </xdr:nvSpPr>
              <xdr:spPr>
                <a:xfrm>
                  <a:off x="11646177"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Measurement</a:t>
                  </a:r>
                </a:p>
              </xdr:txBody>
            </xdr:sp>
          </xdr:grpSp>
          <xdr:pic>
            <xdr:nvPicPr>
              <xdr:cNvPr id="17" name="Picture 16">
                <a:hlinkClick xmlns:r="http://schemas.openxmlformats.org/officeDocument/2006/relationships" r:id="rId11" tooltip="Dashboard"/>
                <a:extLst>
                  <a:ext uri="{FF2B5EF4-FFF2-40B4-BE49-F238E27FC236}">
                    <a16:creationId xmlns:a16="http://schemas.microsoft.com/office/drawing/2014/main" id="{75A33470-B8B7-94D7-9F8F-3E6059C56525}"/>
                  </a:ext>
                </a:extLst>
              </xdr:cNvPr>
              <xdr:cNvPicPr>
                <a:picLocks noChangeAspect="1"/>
              </xdr:cNvPicPr>
            </xdr:nvPicPr>
            <xdr:blipFill rotWithShape="1">
              <a:blip xmlns:r="http://schemas.openxmlformats.org/officeDocument/2006/relationships" r:embed="rId12" cstate="print">
                <a:extLst>
                  <a:ext uri="{28A0092B-C50C-407E-A947-70E740481C1C}">
                    <a14:useLocalDpi xmlns:a14="http://schemas.microsoft.com/office/drawing/2010/main" val="0"/>
                  </a:ext>
                </a:extLst>
              </a:blip>
              <a:srcRect l="8016" t="35915" r="8861" b="35651"/>
              <a:stretch/>
            </xdr:blipFill>
            <xdr:spPr>
              <a:xfrm>
                <a:off x="123825" y="19050"/>
                <a:ext cx="1876426" cy="361950"/>
              </a:xfrm>
              <a:prstGeom prst="rect">
                <a:avLst/>
              </a:prstGeom>
            </xdr:spPr>
          </xdr:pic>
        </xdr:grpSp>
        <xdr:sp macro="" textlink="">
          <xdr:nvSpPr>
            <xdr:cNvPr id="13" name="Rectangle: Rounded Corners 12">
              <a:extLst>
                <a:ext uri="{FF2B5EF4-FFF2-40B4-BE49-F238E27FC236}">
                  <a16:creationId xmlns:a16="http://schemas.microsoft.com/office/drawing/2014/main" id="{2C0D7D89-60C4-2C43-28A5-C85CCF58F330}"/>
                </a:ext>
              </a:extLst>
            </xdr:cNvPr>
            <xdr:cNvSpPr/>
          </xdr:nvSpPr>
          <xdr:spPr>
            <a:xfrm>
              <a:off x="7791450" y="276225"/>
              <a:ext cx="180000" cy="288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grpSp>
      <xdr:pic>
        <xdr:nvPicPr>
          <xdr:cNvPr id="11" name="Graphic 10" descr="Compass outline">
            <a:extLst>
              <a:ext uri="{FF2B5EF4-FFF2-40B4-BE49-F238E27FC236}">
                <a16:creationId xmlns:a16="http://schemas.microsoft.com/office/drawing/2014/main" id="{EC13DCF7-B0A6-E5D8-0615-772967CD853A}"/>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4838701" y="38101"/>
            <a:ext cx="266700" cy="266700"/>
          </a:xfrm>
          <a:prstGeom prst="rect">
            <a:avLst/>
          </a:prstGeom>
        </xdr:spPr>
      </xdr:pic>
    </xdr:grpSp>
    <xdr:clientData/>
  </xdr:twoCellAnchor>
  <xdr:twoCellAnchor editAs="absolute">
    <xdr:from>
      <xdr:col>6</xdr:col>
      <xdr:colOff>628650</xdr:colOff>
      <xdr:row>310</xdr:row>
      <xdr:rowOff>133350</xdr:rowOff>
    </xdr:from>
    <xdr:to>
      <xdr:col>16</xdr:col>
      <xdr:colOff>381000</xdr:colOff>
      <xdr:row>321</xdr:row>
      <xdr:rowOff>180975</xdr:rowOff>
    </xdr:to>
    <mc:AlternateContent xmlns:mc="http://schemas.openxmlformats.org/markup-compatibility/2006" xmlns:sle15="http://schemas.microsoft.com/office/drawing/2012/slicer">
      <mc:Choice Requires="sle15">
        <xdr:graphicFrame macro="">
          <xdr:nvGraphicFramePr>
            <xdr:cNvPr id="8" name="Tanggal">
              <a:extLst>
                <a:ext uri="{FF2B5EF4-FFF2-40B4-BE49-F238E27FC236}">
                  <a16:creationId xmlns:a16="http://schemas.microsoft.com/office/drawing/2014/main" id="{6096E6F0-EE38-5E61-6F3B-6CD187CA2A8C}"/>
                </a:ext>
              </a:extLst>
            </xdr:cNvPr>
            <xdr:cNvGraphicFramePr/>
          </xdr:nvGraphicFramePr>
          <xdr:xfrm>
            <a:off x="0" y="0"/>
            <a:ext cx="0" cy="0"/>
          </xdr:xfrm>
          <a:graphic>
            <a:graphicData uri="http://schemas.microsoft.com/office/drawing/2010/slicer">
              <sle:slicer xmlns:sle="http://schemas.microsoft.com/office/drawing/2010/slicer" name="Tanggal"/>
            </a:graphicData>
          </a:graphic>
        </xdr:graphicFrame>
      </mc:Choice>
      <mc:Fallback xmlns="">
        <xdr:sp macro="" textlink="">
          <xdr:nvSpPr>
            <xdr:cNvPr id="0" name=""/>
            <xdr:cNvSpPr>
              <a:spLocks noTextEdit="1"/>
            </xdr:cNvSpPr>
          </xdr:nvSpPr>
          <xdr:spPr>
            <a:xfrm>
              <a:off x="7962900" y="3181350"/>
              <a:ext cx="8277225" cy="2143125"/>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1323975</xdr:colOff>
      <xdr:row>3</xdr:row>
      <xdr:rowOff>134728</xdr:rowOff>
    </xdr:from>
    <xdr:to>
      <xdr:col>2</xdr:col>
      <xdr:colOff>2152650</xdr:colOff>
      <xdr:row>5</xdr:row>
      <xdr:rowOff>95250</xdr:rowOff>
    </xdr:to>
    <xdr:grpSp>
      <xdr:nvGrpSpPr>
        <xdr:cNvPr id="21" name="Group 20">
          <a:hlinkClick xmlns:r="http://schemas.openxmlformats.org/officeDocument/2006/relationships" r:id="rId15"/>
          <a:extLst>
            <a:ext uri="{FF2B5EF4-FFF2-40B4-BE49-F238E27FC236}">
              <a16:creationId xmlns:a16="http://schemas.microsoft.com/office/drawing/2014/main" id="{5E55F2F8-B117-355D-C564-BA91A59B0147}"/>
            </a:ext>
          </a:extLst>
        </xdr:cNvPr>
        <xdr:cNvGrpSpPr/>
      </xdr:nvGrpSpPr>
      <xdr:grpSpPr>
        <a:xfrm>
          <a:off x="3333750" y="706228"/>
          <a:ext cx="828675" cy="341522"/>
          <a:chOff x="3333750" y="706228"/>
          <a:chExt cx="828675" cy="341522"/>
        </a:xfrm>
      </xdr:grpSpPr>
      <xdr:sp macro="" textlink="">
        <xdr:nvSpPr>
          <xdr:cNvPr id="18" name="Rectangle: Rounded Corners 17">
            <a:extLst>
              <a:ext uri="{FF2B5EF4-FFF2-40B4-BE49-F238E27FC236}">
                <a16:creationId xmlns:a16="http://schemas.microsoft.com/office/drawing/2014/main" id="{A98AD487-9BE6-AF5B-01AE-64678241AEF3}"/>
              </a:ext>
            </a:extLst>
          </xdr:cNvPr>
          <xdr:cNvSpPr/>
        </xdr:nvSpPr>
        <xdr:spPr>
          <a:xfrm>
            <a:off x="3333750" y="714375"/>
            <a:ext cx="828675" cy="333375"/>
          </a:xfrm>
          <a:prstGeom prst="roundRect">
            <a:avLst/>
          </a:prstGeom>
          <a:solidFill>
            <a:srgbClr val="AD49E1"/>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19" name="TextBox 18">
            <a:extLst>
              <a:ext uri="{FF2B5EF4-FFF2-40B4-BE49-F238E27FC236}">
                <a16:creationId xmlns:a16="http://schemas.microsoft.com/office/drawing/2014/main" id="{A9D9492B-7073-C280-273B-0D1C378B48AD}"/>
              </a:ext>
            </a:extLst>
          </xdr:cNvPr>
          <xdr:cNvSpPr txBox="1"/>
        </xdr:nvSpPr>
        <xdr:spPr>
          <a:xfrm>
            <a:off x="3398490" y="706228"/>
            <a:ext cx="699195" cy="254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a:latin typeface="Amasis MT Pro Black" panose="02040A04050005020304" pitchFamily="18" charset="0"/>
              </a:rPr>
              <a:t>2026</a:t>
            </a:r>
          </a:p>
        </xdr:txBody>
      </xdr:sp>
    </xdr:grpSp>
    <xdr:clientData/>
  </xdr:twoCellAnchor>
  <xdr:twoCellAnchor editAs="absolute">
    <xdr:from>
      <xdr:col>2</xdr:col>
      <xdr:colOff>704850</xdr:colOff>
      <xdr:row>3</xdr:row>
      <xdr:rowOff>133350</xdr:rowOff>
    </xdr:from>
    <xdr:to>
      <xdr:col>2</xdr:col>
      <xdr:colOff>1533525</xdr:colOff>
      <xdr:row>5</xdr:row>
      <xdr:rowOff>85725</xdr:rowOff>
    </xdr:to>
    <xdr:grpSp>
      <xdr:nvGrpSpPr>
        <xdr:cNvPr id="20" name="Group 19">
          <a:hlinkClick xmlns:r="http://schemas.openxmlformats.org/officeDocument/2006/relationships" r:id="rId7"/>
          <a:extLst>
            <a:ext uri="{FF2B5EF4-FFF2-40B4-BE49-F238E27FC236}">
              <a16:creationId xmlns:a16="http://schemas.microsoft.com/office/drawing/2014/main" id="{1D9F060C-AD51-7BD0-75F8-77CE53D988BC}"/>
            </a:ext>
          </a:extLst>
        </xdr:cNvPr>
        <xdr:cNvGrpSpPr/>
      </xdr:nvGrpSpPr>
      <xdr:grpSpPr>
        <a:xfrm>
          <a:off x="2714625" y="704850"/>
          <a:ext cx="828675" cy="333375"/>
          <a:chOff x="2714625" y="704850"/>
          <a:chExt cx="828675" cy="333375"/>
        </a:xfrm>
      </xdr:grpSpPr>
      <xdr:sp macro="" textlink="">
        <xdr:nvSpPr>
          <xdr:cNvPr id="15" name="Rectangle: Rounded Corners 14">
            <a:extLst>
              <a:ext uri="{FF2B5EF4-FFF2-40B4-BE49-F238E27FC236}">
                <a16:creationId xmlns:a16="http://schemas.microsoft.com/office/drawing/2014/main" id="{3D97FBBD-2A9A-D453-1B49-EDBFF7B307DB}"/>
              </a:ext>
            </a:extLst>
          </xdr:cNvPr>
          <xdr:cNvSpPr/>
        </xdr:nvSpPr>
        <xdr:spPr>
          <a:xfrm>
            <a:off x="2714625" y="704850"/>
            <a:ext cx="828675" cy="333375"/>
          </a:xfrm>
          <a:prstGeom prst="roundRect">
            <a:avLst/>
          </a:prstGeom>
          <a:gradFill flip="none" rotWithShape="1">
            <a:gsLst>
              <a:gs pos="0">
                <a:srgbClr val="AD49E1">
                  <a:shade val="30000"/>
                  <a:satMod val="115000"/>
                </a:srgbClr>
              </a:gs>
              <a:gs pos="50000">
                <a:srgbClr val="AD49E1">
                  <a:shade val="67500"/>
                  <a:satMod val="115000"/>
                </a:srgbClr>
              </a:gs>
              <a:gs pos="100000">
                <a:srgbClr val="AD49E1">
                  <a:shade val="100000"/>
                  <a:satMod val="115000"/>
                </a:srgbClr>
              </a:gs>
            </a:gsLst>
            <a:lin ang="13500000" scaled="1"/>
            <a:tileRect/>
          </a:gra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16" name="TextBox 15">
            <a:extLst>
              <a:ext uri="{FF2B5EF4-FFF2-40B4-BE49-F238E27FC236}">
                <a16:creationId xmlns:a16="http://schemas.microsoft.com/office/drawing/2014/main" id="{C29F794E-283B-098C-22FC-B63D4CDE1088}"/>
              </a:ext>
            </a:extLst>
          </xdr:cNvPr>
          <xdr:cNvSpPr txBox="1"/>
        </xdr:nvSpPr>
        <xdr:spPr>
          <a:xfrm>
            <a:off x="2779365" y="706228"/>
            <a:ext cx="699195" cy="254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a:latin typeface="Amasis MT Pro Black" panose="02040A04050005020304" pitchFamily="18" charset="0"/>
              </a:rPr>
              <a:t>2025</a:t>
            </a:r>
          </a:p>
        </xdr:txBody>
      </xdr:sp>
    </xdr:grpSp>
    <xdr:clientData/>
  </xdr:twoCellAnchor>
  <xdr:twoCellAnchor editAs="absolute">
    <xdr:from>
      <xdr:col>6</xdr:col>
      <xdr:colOff>400050</xdr:colOff>
      <xdr:row>5</xdr:row>
      <xdr:rowOff>180975</xdr:rowOff>
    </xdr:from>
    <xdr:to>
      <xdr:col>11</xdr:col>
      <xdr:colOff>695325</xdr:colOff>
      <xdr:row>18</xdr:row>
      <xdr:rowOff>180975</xdr:rowOff>
    </xdr:to>
    <mc:AlternateContent xmlns:mc="http://schemas.openxmlformats.org/markup-compatibility/2006" xmlns:sle15="http://schemas.microsoft.com/office/drawing/2012/slicer">
      <mc:Choice Requires="sle15">
        <xdr:graphicFrame macro="">
          <xdr:nvGraphicFramePr>
            <xdr:cNvPr id="22" name="Keterangan">
              <a:extLst>
                <a:ext uri="{FF2B5EF4-FFF2-40B4-BE49-F238E27FC236}">
                  <a16:creationId xmlns:a16="http://schemas.microsoft.com/office/drawing/2014/main" id="{F1C9F24C-4F65-9619-4D7F-76D1B64F1A1E}"/>
                </a:ext>
              </a:extLst>
            </xdr:cNvPr>
            <xdr:cNvGraphicFramePr/>
          </xdr:nvGraphicFramePr>
          <xdr:xfrm>
            <a:off x="0" y="0"/>
            <a:ext cx="0" cy="0"/>
          </xdr:xfrm>
          <a:graphic>
            <a:graphicData uri="http://schemas.microsoft.com/office/drawing/2010/slicer">
              <sle:slicer xmlns:sle="http://schemas.microsoft.com/office/drawing/2010/slicer" name="Keterangan"/>
            </a:graphicData>
          </a:graphic>
        </xdr:graphicFrame>
      </mc:Choice>
      <mc:Fallback xmlns="">
        <xdr:sp macro="" textlink="">
          <xdr:nvSpPr>
            <xdr:cNvPr id="0" name=""/>
            <xdr:cNvSpPr>
              <a:spLocks noTextEdit="1"/>
            </xdr:cNvSpPr>
          </xdr:nvSpPr>
          <xdr:spPr>
            <a:xfrm>
              <a:off x="7734300" y="1133475"/>
              <a:ext cx="4152900" cy="2667000"/>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390525</xdr:colOff>
      <xdr:row>5</xdr:row>
      <xdr:rowOff>9525</xdr:rowOff>
    </xdr:from>
    <xdr:to>
      <xdr:col>0</xdr:col>
      <xdr:colOff>514350</xdr:colOff>
      <xdr:row>5</xdr:row>
      <xdr:rowOff>123825</xdr:rowOff>
    </xdr:to>
    <xdr:sp macro="" textlink="">
      <xdr:nvSpPr>
        <xdr:cNvPr id="2" name="Rectangle 1">
          <a:extLst>
            <a:ext uri="{FF2B5EF4-FFF2-40B4-BE49-F238E27FC236}">
              <a16:creationId xmlns:a16="http://schemas.microsoft.com/office/drawing/2014/main" id="{7BBE725C-B041-4997-B6C0-D7A6A4AAF918}"/>
            </a:ext>
          </a:extLst>
        </xdr:cNvPr>
        <xdr:cNvSpPr/>
      </xdr:nvSpPr>
      <xdr:spPr>
        <a:xfrm>
          <a:off x="390525" y="962025"/>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390525</xdr:colOff>
      <xdr:row>5</xdr:row>
      <xdr:rowOff>161925</xdr:rowOff>
    </xdr:from>
    <xdr:to>
      <xdr:col>0</xdr:col>
      <xdr:colOff>514350</xdr:colOff>
      <xdr:row>6</xdr:row>
      <xdr:rowOff>85725</xdr:rowOff>
    </xdr:to>
    <xdr:sp macro="" textlink="">
      <xdr:nvSpPr>
        <xdr:cNvPr id="3" name="Rectangle 2">
          <a:extLst>
            <a:ext uri="{FF2B5EF4-FFF2-40B4-BE49-F238E27FC236}">
              <a16:creationId xmlns:a16="http://schemas.microsoft.com/office/drawing/2014/main" id="{4ADD19D2-3FF7-4F20-90EA-760C3524E3AE}"/>
            </a:ext>
          </a:extLst>
        </xdr:cNvPr>
        <xdr:cNvSpPr/>
      </xdr:nvSpPr>
      <xdr:spPr>
        <a:xfrm>
          <a:off x="390525" y="1114425"/>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390525</xdr:colOff>
      <xdr:row>6</xdr:row>
      <xdr:rowOff>123825</xdr:rowOff>
    </xdr:from>
    <xdr:to>
      <xdr:col>0</xdr:col>
      <xdr:colOff>514350</xdr:colOff>
      <xdr:row>6</xdr:row>
      <xdr:rowOff>238125</xdr:rowOff>
    </xdr:to>
    <xdr:sp macro="" textlink="">
      <xdr:nvSpPr>
        <xdr:cNvPr id="4" name="Rectangle 3">
          <a:extLst>
            <a:ext uri="{FF2B5EF4-FFF2-40B4-BE49-F238E27FC236}">
              <a16:creationId xmlns:a16="http://schemas.microsoft.com/office/drawing/2014/main" id="{D46B12EE-6955-420D-9AFA-76AAA5A34F3D}"/>
            </a:ext>
          </a:extLst>
        </xdr:cNvPr>
        <xdr:cNvSpPr/>
      </xdr:nvSpPr>
      <xdr:spPr>
        <a:xfrm>
          <a:off x="390525" y="1266825"/>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581025</xdr:colOff>
      <xdr:row>4</xdr:row>
      <xdr:rowOff>47625</xdr:rowOff>
    </xdr:from>
    <xdr:to>
      <xdr:col>1</xdr:col>
      <xdr:colOff>95250</xdr:colOff>
      <xdr:row>4</xdr:row>
      <xdr:rowOff>161925</xdr:rowOff>
    </xdr:to>
    <xdr:sp macro="" textlink="">
      <xdr:nvSpPr>
        <xdr:cNvPr id="5" name="Rectangle 4">
          <a:extLst>
            <a:ext uri="{FF2B5EF4-FFF2-40B4-BE49-F238E27FC236}">
              <a16:creationId xmlns:a16="http://schemas.microsoft.com/office/drawing/2014/main" id="{716EC9FA-59C1-4821-AABA-7DF33FEEAE3C}"/>
            </a:ext>
          </a:extLst>
        </xdr:cNvPr>
        <xdr:cNvSpPr/>
      </xdr:nvSpPr>
      <xdr:spPr>
        <a:xfrm>
          <a:off x="581025" y="809625"/>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581025</xdr:colOff>
      <xdr:row>5</xdr:row>
      <xdr:rowOff>19050</xdr:rowOff>
    </xdr:from>
    <xdr:to>
      <xdr:col>1</xdr:col>
      <xdr:colOff>95250</xdr:colOff>
      <xdr:row>5</xdr:row>
      <xdr:rowOff>133350</xdr:rowOff>
    </xdr:to>
    <xdr:sp macro="" textlink="">
      <xdr:nvSpPr>
        <xdr:cNvPr id="6" name="Rectangle 5">
          <a:extLst>
            <a:ext uri="{FF2B5EF4-FFF2-40B4-BE49-F238E27FC236}">
              <a16:creationId xmlns:a16="http://schemas.microsoft.com/office/drawing/2014/main" id="{C43C04B2-43D3-423D-B525-84D0A8207EE3}"/>
            </a:ext>
          </a:extLst>
        </xdr:cNvPr>
        <xdr:cNvSpPr/>
      </xdr:nvSpPr>
      <xdr:spPr>
        <a:xfrm>
          <a:off x="581025" y="971550"/>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161925</xdr:colOff>
      <xdr:row>4</xdr:row>
      <xdr:rowOff>57150</xdr:rowOff>
    </xdr:from>
    <xdr:to>
      <xdr:col>1</xdr:col>
      <xdr:colOff>285750</xdr:colOff>
      <xdr:row>4</xdr:row>
      <xdr:rowOff>171450</xdr:rowOff>
    </xdr:to>
    <xdr:sp macro="" textlink="">
      <xdr:nvSpPr>
        <xdr:cNvPr id="7" name="Rectangle 6">
          <a:extLst>
            <a:ext uri="{FF2B5EF4-FFF2-40B4-BE49-F238E27FC236}">
              <a16:creationId xmlns:a16="http://schemas.microsoft.com/office/drawing/2014/main" id="{D46FDBE2-2E3D-4C60-BC1E-31527F3D3229}"/>
            </a:ext>
          </a:extLst>
        </xdr:cNvPr>
        <xdr:cNvSpPr/>
      </xdr:nvSpPr>
      <xdr:spPr>
        <a:xfrm>
          <a:off x="771525" y="819150"/>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161925</xdr:colOff>
      <xdr:row>5</xdr:row>
      <xdr:rowOff>28575</xdr:rowOff>
    </xdr:from>
    <xdr:to>
      <xdr:col>1</xdr:col>
      <xdr:colOff>285750</xdr:colOff>
      <xdr:row>5</xdr:row>
      <xdr:rowOff>142875</xdr:rowOff>
    </xdr:to>
    <xdr:sp macro="" textlink="">
      <xdr:nvSpPr>
        <xdr:cNvPr id="8" name="Rectangle 7">
          <a:extLst>
            <a:ext uri="{FF2B5EF4-FFF2-40B4-BE49-F238E27FC236}">
              <a16:creationId xmlns:a16="http://schemas.microsoft.com/office/drawing/2014/main" id="{B0E7A936-0E90-4E23-AAAF-CA837A1F3DE3}"/>
            </a:ext>
          </a:extLst>
        </xdr:cNvPr>
        <xdr:cNvSpPr/>
      </xdr:nvSpPr>
      <xdr:spPr>
        <a:xfrm>
          <a:off x="771525" y="981075"/>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390525</xdr:colOff>
      <xdr:row>4</xdr:row>
      <xdr:rowOff>47625</xdr:rowOff>
    </xdr:from>
    <xdr:to>
      <xdr:col>0</xdr:col>
      <xdr:colOff>514350</xdr:colOff>
      <xdr:row>4</xdr:row>
      <xdr:rowOff>161925</xdr:rowOff>
    </xdr:to>
    <xdr:sp macro="" textlink="">
      <xdr:nvSpPr>
        <xdr:cNvPr id="9" name="Rectangle 8">
          <a:extLst>
            <a:ext uri="{FF2B5EF4-FFF2-40B4-BE49-F238E27FC236}">
              <a16:creationId xmlns:a16="http://schemas.microsoft.com/office/drawing/2014/main" id="{B21B1513-C582-49CC-AD2F-587B34F0AA41}"/>
            </a:ext>
          </a:extLst>
        </xdr:cNvPr>
        <xdr:cNvSpPr/>
      </xdr:nvSpPr>
      <xdr:spPr>
        <a:xfrm>
          <a:off x="390525" y="809625"/>
          <a:ext cx="123825" cy="114300"/>
        </a:xfrm>
        <a:prstGeom prst="rect">
          <a:avLst/>
        </a:prstGeo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4</xdr:col>
      <xdr:colOff>371475</xdr:colOff>
      <xdr:row>2</xdr:row>
      <xdr:rowOff>95250</xdr:rowOff>
    </xdr:from>
    <xdr:to>
      <xdr:col>6</xdr:col>
      <xdr:colOff>971551</xdr:colOff>
      <xdr:row>5</xdr:row>
      <xdr:rowOff>66675</xdr:rowOff>
    </xdr:to>
    <xdr:grpSp>
      <xdr:nvGrpSpPr>
        <xdr:cNvPr id="10" name="Group 9">
          <a:hlinkClick xmlns:r="http://schemas.openxmlformats.org/officeDocument/2006/relationships" r:id="rId1"/>
          <a:extLst>
            <a:ext uri="{FF2B5EF4-FFF2-40B4-BE49-F238E27FC236}">
              <a16:creationId xmlns:a16="http://schemas.microsoft.com/office/drawing/2014/main" id="{94F3278A-5CC3-41CC-A85C-384103C8785C}"/>
            </a:ext>
          </a:extLst>
        </xdr:cNvPr>
        <xdr:cNvGrpSpPr/>
      </xdr:nvGrpSpPr>
      <xdr:grpSpPr>
        <a:xfrm>
          <a:off x="5374607" y="476250"/>
          <a:ext cx="2866023" cy="542925"/>
          <a:chOff x="6496050" y="476250"/>
          <a:chExt cx="3060882" cy="542925"/>
        </a:xfrm>
      </xdr:grpSpPr>
      <xdr:sp macro="" textlink="">
        <xdr:nvSpPr>
          <xdr:cNvPr id="11" name="TextBox 10">
            <a:hlinkClick xmlns:r="http://schemas.openxmlformats.org/officeDocument/2006/relationships" r:id="rId1"/>
            <a:extLst>
              <a:ext uri="{FF2B5EF4-FFF2-40B4-BE49-F238E27FC236}">
                <a16:creationId xmlns:a16="http://schemas.microsoft.com/office/drawing/2014/main" id="{F5F5BF4E-B191-2D05-1780-BE9969BE76C1}"/>
              </a:ext>
            </a:extLst>
          </xdr:cNvPr>
          <xdr:cNvSpPr txBox="1"/>
        </xdr:nvSpPr>
        <xdr:spPr>
          <a:xfrm>
            <a:off x="6496050" y="476250"/>
            <a:ext cx="2857500" cy="5429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2800" kern="1200">
                <a:solidFill>
                  <a:schemeClr val="bg1"/>
                </a:solidFill>
                <a:latin typeface="Avenir Next LT Pro" panose="020B0504020202020204" pitchFamily="34" charset="0"/>
              </a:rPr>
              <a:t>Transaksi Harian</a:t>
            </a:r>
            <a:endParaRPr lang="en-ID" sz="2800" kern="1200" baseline="0">
              <a:solidFill>
                <a:schemeClr val="bg1"/>
              </a:solidFill>
              <a:latin typeface="Avenir Next LT Pro" panose="020B0504020202020204" pitchFamily="34" charset="0"/>
            </a:endParaRPr>
          </a:p>
        </xdr:txBody>
      </xdr:sp>
      <xdr:pic>
        <xdr:nvPicPr>
          <xdr:cNvPr id="12" name="Graphic 11" descr="Wallet with solid fill">
            <a:extLst>
              <a:ext uri="{FF2B5EF4-FFF2-40B4-BE49-F238E27FC236}">
                <a16:creationId xmlns:a16="http://schemas.microsoft.com/office/drawing/2014/main" id="{210054FC-FDBD-F701-8C00-2DCE4D386138}"/>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328334" y="504827"/>
            <a:ext cx="228598" cy="228598"/>
          </a:xfrm>
          <a:prstGeom prst="rect">
            <a:avLst/>
          </a:prstGeom>
        </xdr:spPr>
      </xdr:pic>
    </xdr:grpSp>
    <xdr:clientData/>
  </xdr:twoCellAnchor>
  <xdr:twoCellAnchor editAs="absolute">
    <xdr:from>
      <xdr:col>1</xdr:col>
      <xdr:colOff>733425</xdr:colOff>
      <xdr:row>3</xdr:row>
      <xdr:rowOff>133350</xdr:rowOff>
    </xdr:from>
    <xdr:to>
      <xdr:col>2</xdr:col>
      <xdr:colOff>485775</xdr:colOff>
      <xdr:row>5</xdr:row>
      <xdr:rowOff>95250</xdr:rowOff>
    </xdr:to>
    <xdr:grpSp>
      <xdr:nvGrpSpPr>
        <xdr:cNvPr id="13" name="Group 12">
          <a:hlinkClick xmlns:r="http://schemas.openxmlformats.org/officeDocument/2006/relationships" r:id="rId4"/>
          <a:extLst>
            <a:ext uri="{FF2B5EF4-FFF2-40B4-BE49-F238E27FC236}">
              <a16:creationId xmlns:a16="http://schemas.microsoft.com/office/drawing/2014/main" id="{E4F14857-BFB6-4889-A9E5-FF4A86029C20}"/>
            </a:ext>
          </a:extLst>
        </xdr:cNvPr>
        <xdr:cNvGrpSpPr/>
      </xdr:nvGrpSpPr>
      <xdr:grpSpPr>
        <a:xfrm>
          <a:off x="1345030" y="704850"/>
          <a:ext cx="1156034" cy="342900"/>
          <a:chOff x="1343025" y="704850"/>
          <a:chExt cx="1266825" cy="342900"/>
        </a:xfrm>
      </xdr:grpSpPr>
      <xdr:sp macro="" textlink="">
        <xdr:nvSpPr>
          <xdr:cNvPr id="14" name="Rectangle: Rounded Corners 13">
            <a:extLst>
              <a:ext uri="{FF2B5EF4-FFF2-40B4-BE49-F238E27FC236}">
                <a16:creationId xmlns:a16="http://schemas.microsoft.com/office/drawing/2014/main" id="{72BEE33B-7A49-A511-51BB-004A79AEF3A4}"/>
              </a:ext>
            </a:extLst>
          </xdr:cNvPr>
          <xdr:cNvSpPr/>
        </xdr:nvSpPr>
        <xdr:spPr>
          <a:xfrm>
            <a:off x="1343025" y="704850"/>
            <a:ext cx="1266825" cy="342900"/>
          </a:xfrm>
          <a:prstGeom prst="round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REF!">
        <xdr:nvSpPr>
          <xdr:cNvPr id="15" name="TextBox 14">
            <a:extLst>
              <a:ext uri="{FF2B5EF4-FFF2-40B4-BE49-F238E27FC236}">
                <a16:creationId xmlns:a16="http://schemas.microsoft.com/office/drawing/2014/main" id="{F9035EA3-7F98-FBF0-C939-62F716D07103}"/>
              </a:ext>
            </a:extLst>
          </xdr:cNvPr>
          <xdr:cNvSpPr txBox="1"/>
        </xdr:nvSpPr>
        <xdr:spPr>
          <a:xfrm>
            <a:off x="1389944" y="714375"/>
            <a:ext cx="1172986" cy="31008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ID" sz="1200" b="1" kern="1200" baseline="0">
                <a:solidFill>
                  <a:schemeClr val="bg1"/>
                </a:solidFill>
                <a:latin typeface="Avenir Next LT Pro" panose="020B0504020202020204" pitchFamily="34" charset="0"/>
              </a:rPr>
              <a:t>Bukti Transaksi</a:t>
            </a:r>
          </a:p>
        </xdr:txBody>
      </xdr:sp>
    </xdr:grpSp>
    <xdr:clientData/>
  </xdr:twoCellAnchor>
  <xdr:twoCellAnchor editAs="absolute">
    <xdr:from>
      <xdr:col>0</xdr:col>
      <xdr:colOff>0</xdr:colOff>
      <xdr:row>0</xdr:row>
      <xdr:rowOff>9525</xdr:rowOff>
    </xdr:from>
    <xdr:to>
      <xdr:col>12</xdr:col>
      <xdr:colOff>419101</xdr:colOff>
      <xdr:row>2</xdr:row>
      <xdr:rowOff>9525</xdr:rowOff>
    </xdr:to>
    <xdr:grpSp>
      <xdr:nvGrpSpPr>
        <xdr:cNvPr id="16" name="Group 15">
          <a:extLst>
            <a:ext uri="{FF2B5EF4-FFF2-40B4-BE49-F238E27FC236}">
              <a16:creationId xmlns:a16="http://schemas.microsoft.com/office/drawing/2014/main" id="{901D00CE-0D21-4EA2-8E3F-54BEB4117274}"/>
            </a:ext>
          </a:extLst>
        </xdr:cNvPr>
        <xdr:cNvGrpSpPr/>
      </xdr:nvGrpSpPr>
      <xdr:grpSpPr>
        <a:xfrm>
          <a:off x="0" y="9525"/>
          <a:ext cx="13553575" cy="381000"/>
          <a:chOff x="0" y="0"/>
          <a:chExt cx="13554076" cy="381000"/>
        </a:xfrm>
      </xdr:grpSpPr>
      <xdr:grpSp>
        <xdr:nvGrpSpPr>
          <xdr:cNvPr id="17" name="Group 16">
            <a:extLst>
              <a:ext uri="{FF2B5EF4-FFF2-40B4-BE49-F238E27FC236}">
                <a16:creationId xmlns:a16="http://schemas.microsoft.com/office/drawing/2014/main" id="{0A2C52F0-243A-82CA-379A-697F0003D580}"/>
              </a:ext>
            </a:extLst>
          </xdr:cNvPr>
          <xdr:cNvGrpSpPr/>
        </xdr:nvGrpSpPr>
        <xdr:grpSpPr>
          <a:xfrm>
            <a:off x="0" y="0"/>
            <a:ext cx="13554076" cy="381000"/>
            <a:chOff x="0" y="0"/>
            <a:chExt cx="13554076" cy="381000"/>
          </a:xfrm>
        </xdr:grpSpPr>
        <xdr:grpSp>
          <xdr:nvGrpSpPr>
            <xdr:cNvPr id="19" name="Group 18">
              <a:extLst>
                <a:ext uri="{FF2B5EF4-FFF2-40B4-BE49-F238E27FC236}">
                  <a16:creationId xmlns:a16="http://schemas.microsoft.com/office/drawing/2014/main" id="{97A7CA3D-2C3E-DCF9-77C3-44D552A78D84}"/>
                </a:ext>
              </a:extLst>
            </xdr:cNvPr>
            <xdr:cNvGrpSpPr/>
          </xdr:nvGrpSpPr>
          <xdr:grpSpPr>
            <a:xfrm>
              <a:off x="0" y="0"/>
              <a:ext cx="13554076" cy="381000"/>
              <a:chOff x="0" y="0"/>
              <a:chExt cx="13554076" cy="381000"/>
            </a:xfrm>
          </xdr:grpSpPr>
          <xdr:grpSp>
            <xdr:nvGrpSpPr>
              <xdr:cNvPr id="21" name="Group 20">
                <a:extLst>
                  <a:ext uri="{FF2B5EF4-FFF2-40B4-BE49-F238E27FC236}">
                    <a16:creationId xmlns:a16="http://schemas.microsoft.com/office/drawing/2014/main" id="{43B9ECE9-5C8E-CE57-DD18-FC78F0A1109E}"/>
                  </a:ext>
                </a:extLst>
              </xdr:cNvPr>
              <xdr:cNvGrpSpPr/>
            </xdr:nvGrpSpPr>
            <xdr:grpSpPr>
              <a:xfrm>
                <a:off x="0" y="0"/>
                <a:ext cx="13554076" cy="360000"/>
                <a:chOff x="0" y="0"/>
                <a:chExt cx="13554076" cy="352424"/>
              </a:xfr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2700000" scaled="1"/>
                <a:tileRect/>
              </a:gradFill>
              <a:effectLst>
                <a:outerShdw blurRad="50800" dist="38100" dir="5400000" algn="t" rotWithShape="0">
                  <a:prstClr val="black">
                    <a:alpha val="40000"/>
                  </a:prstClr>
                </a:outerShdw>
              </a:effectLst>
            </xdr:grpSpPr>
            <xdr:sp macro="" textlink="">
              <xdr:nvSpPr>
                <xdr:cNvPr id="23" name="Rectangle 22">
                  <a:extLst>
                    <a:ext uri="{FF2B5EF4-FFF2-40B4-BE49-F238E27FC236}">
                      <a16:creationId xmlns:a16="http://schemas.microsoft.com/office/drawing/2014/main" id="{83A9F460-A630-7F7A-1941-289E922F58E2}"/>
                    </a:ext>
                  </a:extLst>
                </xdr:cNvPr>
                <xdr:cNvSpPr/>
              </xdr:nvSpPr>
              <xdr:spPr>
                <a:xfrm>
                  <a:off x="0" y="0"/>
                  <a:ext cx="13554076" cy="352424"/>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24" name="TextBox 23">
                  <a:hlinkClick xmlns:r="http://schemas.openxmlformats.org/officeDocument/2006/relationships" r:id="rId5" tooltip="Reports"/>
                  <a:extLst>
                    <a:ext uri="{FF2B5EF4-FFF2-40B4-BE49-F238E27FC236}">
                      <a16:creationId xmlns:a16="http://schemas.microsoft.com/office/drawing/2014/main" id="{C759DDFE-D29A-CB4D-0EF1-D5335BF7D6F7}"/>
                    </a:ext>
                  </a:extLst>
                </xdr:cNvPr>
                <xdr:cNvSpPr txBox="1"/>
              </xdr:nvSpPr>
              <xdr:spPr>
                <a:xfrm>
                  <a:off x="10187147" y="37499"/>
                  <a:ext cx="986167"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Reports</a:t>
                  </a:r>
                </a:p>
              </xdr:txBody>
            </xdr:sp>
            <xdr:sp macro="" textlink="">
              <xdr:nvSpPr>
                <xdr:cNvPr id="25" name="TextBox 24">
                  <a:hlinkClick xmlns:r="http://schemas.openxmlformats.org/officeDocument/2006/relationships" r:id="rId6" tooltip="Project Status"/>
                  <a:extLst>
                    <a:ext uri="{FF2B5EF4-FFF2-40B4-BE49-F238E27FC236}">
                      <a16:creationId xmlns:a16="http://schemas.microsoft.com/office/drawing/2014/main" id="{7349DEB7-C4D5-ED7A-A563-1710AEC5A2F3}"/>
                    </a:ext>
                  </a:extLst>
                </xdr:cNvPr>
                <xdr:cNvSpPr txBox="1"/>
              </xdr:nvSpPr>
              <xdr:spPr>
                <a:xfrm>
                  <a:off x="10855602"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Dashboard</a:t>
                  </a:r>
                </a:p>
              </xdr:txBody>
            </xdr:sp>
            <xdr:sp macro="" textlink="">
              <xdr:nvSpPr>
                <xdr:cNvPr id="26" name="TextBox 25">
                  <a:hlinkClick xmlns:r="http://schemas.openxmlformats.org/officeDocument/2006/relationships" r:id="rId7" tooltip="Income Sources"/>
                  <a:extLst>
                    <a:ext uri="{FF2B5EF4-FFF2-40B4-BE49-F238E27FC236}">
                      <a16:creationId xmlns:a16="http://schemas.microsoft.com/office/drawing/2014/main" id="{389159BE-DAC1-F3B6-ED2D-3199AE2B9431}"/>
                    </a:ext>
                  </a:extLst>
                </xdr:cNvPr>
                <xdr:cNvSpPr txBox="1"/>
              </xdr:nvSpPr>
              <xdr:spPr>
                <a:xfrm>
                  <a:off x="7702827" y="28575"/>
                  <a:ext cx="1212640"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Genenral</a:t>
                  </a:r>
                  <a:r>
                    <a:rPr lang="en-ID" sz="1100" kern="1200" baseline="0">
                      <a:solidFill>
                        <a:schemeClr val="bg1"/>
                      </a:solidFill>
                      <a:latin typeface="Avenir Next LT Pro" panose="020B0504020202020204" pitchFamily="34" charset="0"/>
                    </a:rPr>
                    <a:t> Journal</a:t>
                  </a:r>
                  <a:endParaRPr lang="en-ID" sz="1100" kern="1200">
                    <a:solidFill>
                      <a:schemeClr val="bg1"/>
                    </a:solidFill>
                    <a:latin typeface="Avenir Next LT Pro" panose="020B0504020202020204" pitchFamily="34" charset="0"/>
                  </a:endParaRPr>
                </a:p>
              </xdr:txBody>
            </xdr:sp>
            <xdr:sp macro="" textlink="">
              <xdr:nvSpPr>
                <xdr:cNvPr id="27" name="TextBox 26">
                  <a:hlinkClick xmlns:r="http://schemas.openxmlformats.org/officeDocument/2006/relationships" r:id="rId8" tooltip="RAPBO"/>
                  <a:extLst>
                    <a:ext uri="{FF2B5EF4-FFF2-40B4-BE49-F238E27FC236}">
                      <a16:creationId xmlns:a16="http://schemas.microsoft.com/office/drawing/2014/main" id="{B6C18975-B28D-C75E-B58B-35726D409567}"/>
                    </a:ext>
                  </a:extLst>
                </xdr:cNvPr>
                <xdr:cNvSpPr txBox="1"/>
              </xdr:nvSpPr>
              <xdr:spPr>
                <a:xfrm>
                  <a:off x="9045431" y="28575"/>
                  <a:ext cx="1193944"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General</a:t>
                  </a:r>
                  <a:r>
                    <a:rPr lang="en-ID" sz="1100" kern="1200" baseline="0">
                      <a:solidFill>
                        <a:schemeClr val="bg1"/>
                      </a:solidFill>
                      <a:latin typeface="Avenir Next LT Pro" panose="020B0504020202020204" pitchFamily="34" charset="0"/>
                    </a:rPr>
                    <a:t> Ledger</a:t>
                  </a:r>
                  <a:endParaRPr lang="en-ID" sz="1100" kern="1200">
                    <a:solidFill>
                      <a:schemeClr val="bg1"/>
                    </a:solidFill>
                    <a:latin typeface="Avenir Next LT Pro" panose="020B0504020202020204" pitchFamily="34" charset="0"/>
                  </a:endParaRPr>
                </a:p>
              </xdr:txBody>
            </xdr:sp>
            <xdr:grpSp>
              <xdr:nvGrpSpPr>
                <xdr:cNvPr id="28" name="Group 27">
                  <a:extLst>
                    <a:ext uri="{FF2B5EF4-FFF2-40B4-BE49-F238E27FC236}">
                      <a16:creationId xmlns:a16="http://schemas.microsoft.com/office/drawing/2014/main" id="{3CD71085-7209-AB98-09F0-00623909C5B6}"/>
                    </a:ext>
                  </a:extLst>
                </xdr:cNvPr>
                <xdr:cNvGrpSpPr/>
              </xdr:nvGrpSpPr>
              <xdr:grpSpPr>
                <a:xfrm>
                  <a:off x="5016777" y="28575"/>
                  <a:ext cx="802998" cy="263405"/>
                  <a:chOff x="5016777" y="47625"/>
                  <a:chExt cx="802998" cy="263405"/>
                </a:xfrm>
                <a:grpFill/>
              </xdr:grpSpPr>
              <xdr:sp macro="" textlink="">
                <xdr:nvSpPr>
                  <xdr:cNvPr id="31" name="TextBox 30">
                    <a:hlinkClick xmlns:r="http://schemas.openxmlformats.org/officeDocument/2006/relationships" r:id="rId9" tooltip="Urbane Stitch Store"/>
                    <a:extLst>
                      <a:ext uri="{FF2B5EF4-FFF2-40B4-BE49-F238E27FC236}">
                        <a16:creationId xmlns:a16="http://schemas.microsoft.com/office/drawing/2014/main" id="{36EDF70B-C305-0BA8-8C13-2D3702B633CB}"/>
                      </a:ext>
                    </a:extLst>
                  </xdr:cNvPr>
                  <xdr:cNvSpPr txBox="1"/>
                </xdr:nvSpPr>
                <xdr:spPr>
                  <a:xfrm>
                    <a:off x="5016777" y="47625"/>
                    <a:ext cx="659861"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Browse</a:t>
                    </a:r>
                  </a:p>
                </xdr:txBody>
              </xdr:sp>
              <xdr:grpSp>
                <xdr:nvGrpSpPr>
                  <xdr:cNvPr id="32" name="Graphic 10" descr="Compass outline">
                    <a:extLst>
                      <a:ext uri="{FF2B5EF4-FFF2-40B4-BE49-F238E27FC236}">
                        <a16:creationId xmlns:a16="http://schemas.microsoft.com/office/drawing/2014/main" id="{506A7950-8ECA-AD24-9687-7C1BDB530937}"/>
                      </a:ext>
                    </a:extLst>
                  </xdr:cNvPr>
                  <xdr:cNvGrpSpPr/>
                </xdr:nvGrpSpPr>
                <xdr:grpSpPr>
                  <a:xfrm>
                    <a:off x="5629275" y="85725"/>
                    <a:ext cx="190500" cy="190500"/>
                    <a:chOff x="5638800" y="1485900"/>
                    <a:chExt cx="609600" cy="609600"/>
                  </a:xfrm>
                  <a:grpFill/>
                </xdr:grpSpPr>
                <xdr:sp macro="" textlink="">
                  <xdr:nvSpPr>
                    <xdr:cNvPr id="33" name="Freeform: Shape 32">
                      <a:extLst>
                        <a:ext uri="{FF2B5EF4-FFF2-40B4-BE49-F238E27FC236}">
                          <a16:creationId xmlns:a16="http://schemas.microsoft.com/office/drawing/2014/main" id="{F6E26E48-3541-8C0A-FF77-6A8A40179F34}"/>
                        </a:ext>
                      </a:extLst>
                    </xdr:cNvPr>
                    <xdr:cNvSpPr/>
                  </xdr:nvSpPr>
                  <xdr:spPr>
                    <a:xfrm>
                      <a:off x="5638800" y="1485900"/>
                      <a:ext cx="609600" cy="609600"/>
                    </a:xfrm>
                    <a:custGeom>
                      <a:avLst/>
                      <a:gdLst>
                        <a:gd name="connsiteX0" fmla="*/ 304800 w 609600"/>
                        <a:gd name="connsiteY0" fmla="*/ 19050 h 609600"/>
                        <a:gd name="connsiteX1" fmla="*/ 590550 w 609600"/>
                        <a:gd name="connsiteY1" fmla="*/ 304800 h 609600"/>
                        <a:gd name="connsiteX2" fmla="*/ 304800 w 609600"/>
                        <a:gd name="connsiteY2" fmla="*/ 590550 h 609600"/>
                        <a:gd name="connsiteX3" fmla="*/ 19050 w 609600"/>
                        <a:gd name="connsiteY3" fmla="*/ 304800 h 609600"/>
                        <a:gd name="connsiteX4" fmla="*/ 304800 w 609600"/>
                        <a:gd name="connsiteY4" fmla="*/ 19050 h 609600"/>
                        <a:gd name="connsiteX5" fmla="*/ 304800 w 609600"/>
                        <a:gd name="connsiteY5" fmla="*/ 0 h 609600"/>
                        <a:gd name="connsiteX6" fmla="*/ 0 w 609600"/>
                        <a:gd name="connsiteY6" fmla="*/ 304800 h 609600"/>
                        <a:gd name="connsiteX7" fmla="*/ 304800 w 609600"/>
                        <a:gd name="connsiteY7" fmla="*/ 609600 h 609600"/>
                        <a:gd name="connsiteX8" fmla="*/ 609600 w 609600"/>
                        <a:gd name="connsiteY8" fmla="*/ 304800 h 609600"/>
                        <a:gd name="connsiteX9" fmla="*/ 304800 w 609600"/>
                        <a:gd name="connsiteY9" fmla="*/ 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609600" h="609600">
                          <a:moveTo>
                            <a:pt x="304800" y="19050"/>
                          </a:moveTo>
                          <a:cubicBezTo>
                            <a:pt x="462615" y="19050"/>
                            <a:pt x="590550" y="146985"/>
                            <a:pt x="590550" y="304800"/>
                          </a:cubicBezTo>
                          <a:cubicBezTo>
                            <a:pt x="590550" y="462615"/>
                            <a:pt x="462615" y="590550"/>
                            <a:pt x="304800" y="590550"/>
                          </a:cubicBezTo>
                          <a:cubicBezTo>
                            <a:pt x="146985" y="590550"/>
                            <a:pt x="19050" y="462615"/>
                            <a:pt x="19050" y="304800"/>
                          </a:cubicBezTo>
                          <a:cubicBezTo>
                            <a:pt x="19228" y="147058"/>
                            <a:pt x="147058" y="19228"/>
                            <a:pt x="304800" y="19050"/>
                          </a:cubicBezTo>
                          <a:moveTo>
                            <a:pt x="304800" y="0"/>
                          </a:moveTo>
                          <a:cubicBezTo>
                            <a:pt x="136464" y="0"/>
                            <a:pt x="0" y="136464"/>
                            <a:pt x="0" y="304800"/>
                          </a:cubicBezTo>
                          <a:cubicBezTo>
                            <a:pt x="0" y="473136"/>
                            <a:pt x="136464" y="609600"/>
                            <a:pt x="304800" y="609600"/>
                          </a:cubicBezTo>
                          <a:cubicBezTo>
                            <a:pt x="473136" y="609600"/>
                            <a:pt x="609600" y="473136"/>
                            <a:pt x="609600" y="304800"/>
                          </a:cubicBezTo>
                          <a:cubicBezTo>
                            <a:pt x="609411" y="136542"/>
                            <a:pt x="473058" y="189"/>
                            <a:pt x="304800" y="0"/>
                          </a:cubicBezTo>
                          <a:close/>
                        </a:path>
                      </a:pathLst>
                    </a:custGeom>
                    <a:grpFill/>
                    <a:ln w="9525" cap="flat">
                      <a:noFill/>
                      <a:prstDash val="solid"/>
                      <a:miter/>
                    </a:ln>
                  </xdr:spPr>
                  <xdr:txBody>
                    <a:bodyPr rtlCol="0" anchor="ctr"/>
                    <a:lstStyle/>
                    <a:p>
                      <a:endParaRPr lang="en-ID"/>
                    </a:p>
                  </xdr:txBody>
                </xdr:sp>
                <xdr:sp macro="" textlink="">
                  <xdr:nvSpPr>
                    <xdr:cNvPr id="34" name="Freeform: Shape 33">
                      <a:extLst>
                        <a:ext uri="{FF2B5EF4-FFF2-40B4-BE49-F238E27FC236}">
                          <a16:creationId xmlns:a16="http://schemas.microsoft.com/office/drawing/2014/main" id="{BA1BF037-FD03-B3A4-A0C4-CD5FCA3BB211}"/>
                        </a:ext>
                      </a:extLst>
                    </xdr:cNvPr>
                    <xdr:cNvSpPr/>
                  </xdr:nvSpPr>
                  <xdr:spPr>
                    <a:xfrm>
                      <a:off x="5795010" y="1644014"/>
                      <a:ext cx="295275" cy="295275"/>
                    </a:xfrm>
                    <a:custGeom>
                      <a:avLst/>
                      <a:gdLst>
                        <a:gd name="connsiteX0" fmla="*/ 194939 w 295275"/>
                        <a:gd name="connsiteY0" fmla="*/ 194948 h 295275"/>
                        <a:gd name="connsiteX1" fmla="*/ 35023 w 295275"/>
                        <a:gd name="connsiteY1" fmla="*/ 260366 h 295275"/>
                        <a:gd name="connsiteX2" fmla="*/ 100336 w 295275"/>
                        <a:gd name="connsiteY2" fmla="*/ 102175 h 295275"/>
                        <a:gd name="connsiteX3" fmla="*/ 260252 w 295275"/>
                        <a:gd name="connsiteY3" fmla="*/ 35290 h 295275"/>
                        <a:gd name="connsiteX4" fmla="*/ 85725 w 295275"/>
                        <a:gd name="connsiteY4" fmla="*/ 87630 h 295275"/>
                        <a:gd name="connsiteX5" fmla="*/ 0 w 295275"/>
                        <a:gd name="connsiteY5" fmla="*/ 295275 h 295275"/>
                        <a:gd name="connsiteX6" fmla="*/ 209550 w 295275"/>
                        <a:gd name="connsiteY6" fmla="*/ 209550 h 295275"/>
                        <a:gd name="connsiteX7" fmla="*/ 295275 w 295275"/>
                        <a:gd name="connsiteY7" fmla="*/ 0 h 295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95275" h="295275">
                          <a:moveTo>
                            <a:pt x="194939" y="194948"/>
                          </a:moveTo>
                          <a:lnTo>
                            <a:pt x="35023" y="260366"/>
                          </a:lnTo>
                          <a:lnTo>
                            <a:pt x="100336" y="102175"/>
                          </a:lnTo>
                          <a:lnTo>
                            <a:pt x="260252" y="35290"/>
                          </a:lnTo>
                          <a:close/>
                          <a:moveTo>
                            <a:pt x="85725" y="87630"/>
                          </a:moveTo>
                          <a:lnTo>
                            <a:pt x="0" y="295275"/>
                          </a:lnTo>
                          <a:lnTo>
                            <a:pt x="209550" y="209550"/>
                          </a:lnTo>
                          <a:lnTo>
                            <a:pt x="295275" y="0"/>
                          </a:lnTo>
                          <a:close/>
                        </a:path>
                      </a:pathLst>
                    </a:custGeom>
                    <a:grpFill/>
                    <a:ln w="9525" cap="flat">
                      <a:noFill/>
                      <a:prstDash val="solid"/>
                      <a:miter/>
                    </a:ln>
                  </xdr:spPr>
                  <xdr:txBody>
                    <a:bodyPr rtlCol="0" anchor="ctr"/>
                    <a:lstStyle/>
                    <a:p>
                      <a:endParaRPr lang="en-ID"/>
                    </a:p>
                  </xdr:txBody>
                </xdr:sp>
                <xdr:sp macro="" textlink="">
                  <xdr:nvSpPr>
                    <xdr:cNvPr id="35" name="Freeform: Shape 34">
                      <a:extLst>
                        <a:ext uri="{FF2B5EF4-FFF2-40B4-BE49-F238E27FC236}">
                          <a16:creationId xmlns:a16="http://schemas.microsoft.com/office/drawing/2014/main" id="{19825CA1-B9C8-C8F0-2172-53DC320D55B3}"/>
                        </a:ext>
                      </a:extLst>
                    </xdr:cNvPr>
                    <xdr:cNvSpPr/>
                  </xdr:nvSpPr>
                  <xdr:spPr>
                    <a:xfrm>
                      <a:off x="5924550" y="1771650"/>
                      <a:ext cx="38100" cy="38100"/>
                    </a:xfrm>
                    <a:custGeom>
                      <a:avLst/>
                      <a:gdLst>
                        <a:gd name="connsiteX0" fmla="*/ 38100 w 38100"/>
                        <a:gd name="connsiteY0" fmla="*/ 19050 h 38100"/>
                        <a:gd name="connsiteX1" fmla="*/ 19050 w 38100"/>
                        <a:gd name="connsiteY1" fmla="*/ 38100 h 38100"/>
                        <a:gd name="connsiteX2" fmla="*/ 0 w 38100"/>
                        <a:gd name="connsiteY2" fmla="*/ 19050 h 38100"/>
                        <a:gd name="connsiteX3" fmla="*/ 19050 w 38100"/>
                        <a:gd name="connsiteY3" fmla="*/ 0 h 38100"/>
                        <a:gd name="connsiteX4" fmla="*/ 38100 w 38100"/>
                        <a:gd name="connsiteY4" fmla="*/ 19050 h 381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8100" h="38100">
                          <a:moveTo>
                            <a:pt x="38100" y="19050"/>
                          </a:moveTo>
                          <a:cubicBezTo>
                            <a:pt x="38100" y="29571"/>
                            <a:pt x="29571" y="38100"/>
                            <a:pt x="19050" y="38100"/>
                          </a:cubicBezTo>
                          <a:cubicBezTo>
                            <a:pt x="8529" y="38100"/>
                            <a:pt x="0" y="29571"/>
                            <a:pt x="0" y="19050"/>
                          </a:cubicBezTo>
                          <a:cubicBezTo>
                            <a:pt x="0" y="8529"/>
                            <a:pt x="8529" y="0"/>
                            <a:pt x="19050" y="0"/>
                          </a:cubicBezTo>
                          <a:cubicBezTo>
                            <a:pt x="29571" y="0"/>
                            <a:pt x="38100" y="8529"/>
                            <a:pt x="38100" y="19050"/>
                          </a:cubicBezTo>
                          <a:close/>
                        </a:path>
                      </a:pathLst>
                    </a:custGeom>
                    <a:grpFill/>
                    <a:ln w="9525" cap="flat">
                      <a:noFill/>
                      <a:prstDash val="solid"/>
                      <a:miter/>
                    </a:ln>
                  </xdr:spPr>
                  <xdr:txBody>
                    <a:bodyPr rtlCol="0" anchor="ctr"/>
                    <a:lstStyle/>
                    <a:p>
                      <a:endParaRPr lang="en-ID"/>
                    </a:p>
                  </xdr:txBody>
                </xdr:sp>
              </xdr:grpSp>
            </xdr:grpSp>
            <xdr:sp macro="" textlink="">
              <xdr:nvSpPr>
                <xdr:cNvPr id="29" name="Rectangle: Rounded Corners 28">
                  <a:extLst>
                    <a:ext uri="{FF2B5EF4-FFF2-40B4-BE49-F238E27FC236}">
                      <a16:creationId xmlns:a16="http://schemas.microsoft.com/office/drawing/2014/main" id="{1BD6A760-5162-74F3-2A03-E2009FADBDC2}"/>
                    </a:ext>
                  </a:extLst>
                </xdr:cNvPr>
                <xdr:cNvSpPr/>
              </xdr:nvSpPr>
              <xdr:spPr>
                <a:xfrm>
                  <a:off x="11382375" y="257175"/>
                  <a:ext cx="180000" cy="28800"/>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30" name="TextBox 29">
                  <a:hlinkClick xmlns:r="http://schemas.openxmlformats.org/officeDocument/2006/relationships" r:id="rId10" tooltip="Project Status"/>
                  <a:extLst>
                    <a:ext uri="{FF2B5EF4-FFF2-40B4-BE49-F238E27FC236}">
                      <a16:creationId xmlns:a16="http://schemas.microsoft.com/office/drawing/2014/main" id="{59DC1826-C8B7-C6FE-0EB6-1EF0C8FF04F8}"/>
                    </a:ext>
                  </a:extLst>
                </xdr:cNvPr>
                <xdr:cNvSpPr txBox="1"/>
              </xdr:nvSpPr>
              <xdr:spPr>
                <a:xfrm>
                  <a:off x="11646177"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Measurement</a:t>
                  </a:r>
                </a:p>
              </xdr:txBody>
            </xdr:sp>
          </xdr:grpSp>
          <xdr:pic>
            <xdr:nvPicPr>
              <xdr:cNvPr id="22" name="Picture 21">
                <a:hlinkClick xmlns:r="http://schemas.openxmlformats.org/officeDocument/2006/relationships" r:id="rId11" tooltip="Dashboard"/>
                <a:extLst>
                  <a:ext uri="{FF2B5EF4-FFF2-40B4-BE49-F238E27FC236}">
                    <a16:creationId xmlns:a16="http://schemas.microsoft.com/office/drawing/2014/main" id="{F7AAA2C9-720F-F906-B4B6-C4F23268782F}"/>
                  </a:ext>
                </a:extLst>
              </xdr:cNvPr>
              <xdr:cNvPicPr>
                <a:picLocks noChangeAspect="1"/>
              </xdr:cNvPicPr>
            </xdr:nvPicPr>
            <xdr:blipFill rotWithShape="1">
              <a:blip xmlns:r="http://schemas.openxmlformats.org/officeDocument/2006/relationships" r:embed="rId12" cstate="print">
                <a:extLst>
                  <a:ext uri="{28A0092B-C50C-407E-A947-70E740481C1C}">
                    <a14:useLocalDpi xmlns:a14="http://schemas.microsoft.com/office/drawing/2010/main" val="0"/>
                  </a:ext>
                </a:extLst>
              </a:blip>
              <a:srcRect l="8016" t="35915" r="8861" b="35651"/>
              <a:stretch/>
            </xdr:blipFill>
            <xdr:spPr>
              <a:xfrm>
                <a:off x="123825" y="19050"/>
                <a:ext cx="1876426" cy="361950"/>
              </a:xfrm>
              <a:prstGeom prst="rect">
                <a:avLst/>
              </a:prstGeom>
            </xdr:spPr>
          </xdr:pic>
        </xdr:grpSp>
        <xdr:sp macro="" textlink="">
          <xdr:nvSpPr>
            <xdr:cNvPr id="20" name="Rectangle: Rounded Corners 19">
              <a:extLst>
                <a:ext uri="{FF2B5EF4-FFF2-40B4-BE49-F238E27FC236}">
                  <a16:creationId xmlns:a16="http://schemas.microsoft.com/office/drawing/2014/main" id="{3AE45EE2-DAA9-4C3D-B521-EF01E5BD23FB}"/>
                </a:ext>
              </a:extLst>
            </xdr:cNvPr>
            <xdr:cNvSpPr/>
          </xdr:nvSpPr>
          <xdr:spPr>
            <a:xfrm>
              <a:off x="7791450" y="276225"/>
              <a:ext cx="180000" cy="288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grpSp>
      <xdr:pic>
        <xdr:nvPicPr>
          <xdr:cNvPr id="18" name="Graphic 17" descr="Compass outline">
            <a:extLst>
              <a:ext uri="{FF2B5EF4-FFF2-40B4-BE49-F238E27FC236}">
                <a16:creationId xmlns:a16="http://schemas.microsoft.com/office/drawing/2014/main" id="{C89B7BCF-512A-2726-A102-816E02D7ED5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4838701" y="38101"/>
            <a:ext cx="266700" cy="266700"/>
          </a:xfrm>
          <a:prstGeom prst="rect">
            <a:avLst/>
          </a:prstGeom>
        </xdr:spPr>
      </xdr:pic>
    </xdr:grpSp>
    <xdr:clientData/>
  </xdr:twoCellAnchor>
  <xdr:twoCellAnchor editAs="absolute">
    <xdr:from>
      <xdr:col>2</xdr:col>
      <xdr:colOff>704850</xdr:colOff>
      <xdr:row>3</xdr:row>
      <xdr:rowOff>152400</xdr:rowOff>
    </xdr:from>
    <xdr:to>
      <xdr:col>2</xdr:col>
      <xdr:colOff>1533525</xdr:colOff>
      <xdr:row>5</xdr:row>
      <xdr:rowOff>104775</xdr:rowOff>
    </xdr:to>
    <xdr:grpSp>
      <xdr:nvGrpSpPr>
        <xdr:cNvPr id="46" name="Group 45">
          <a:hlinkClick xmlns:r="http://schemas.openxmlformats.org/officeDocument/2006/relationships" r:id="rId7"/>
          <a:extLst>
            <a:ext uri="{FF2B5EF4-FFF2-40B4-BE49-F238E27FC236}">
              <a16:creationId xmlns:a16="http://schemas.microsoft.com/office/drawing/2014/main" id="{268C3F22-1A43-18DF-BCA7-A1F49488B912}"/>
            </a:ext>
          </a:extLst>
        </xdr:cNvPr>
        <xdr:cNvGrpSpPr/>
      </xdr:nvGrpSpPr>
      <xdr:grpSpPr>
        <a:xfrm>
          <a:off x="2720139" y="723900"/>
          <a:ext cx="828675" cy="333375"/>
          <a:chOff x="2714625" y="723900"/>
          <a:chExt cx="828675" cy="333375"/>
        </a:xfrm>
      </xdr:grpSpPr>
      <xdr:sp macro="" textlink="">
        <xdr:nvSpPr>
          <xdr:cNvPr id="42" name="Rectangle: Rounded Corners 41">
            <a:extLst>
              <a:ext uri="{FF2B5EF4-FFF2-40B4-BE49-F238E27FC236}">
                <a16:creationId xmlns:a16="http://schemas.microsoft.com/office/drawing/2014/main" id="{D2DC3839-0FED-81A1-9BF5-4D20D4B1C4CF}"/>
              </a:ext>
            </a:extLst>
          </xdr:cNvPr>
          <xdr:cNvSpPr/>
        </xdr:nvSpPr>
        <xdr:spPr>
          <a:xfrm>
            <a:off x="2714625" y="723900"/>
            <a:ext cx="828675" cy="333375"/>
          </a:xfrm>
          <a:prstGeom prst="roundRect">
            <a:avLst/>
          </a:prstGeom>
          <a:solidFill>
            <a:srgbClr val="AD49E1"/>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3" name="TextBox 42">
            <a:extLst>
              <a:ext uri="{FF2B5EF4-FFF2-40B4-BE49-F238E27FC236}">
                <a16:creationId xmlns:a16="http://schemas.microsoft.com/office/drawing/2014/main" id="{CD873197-5D33-61B4-182A-75EDA63130D6}"/>
              </a:ext>
            </a:extLst>
          </xdr:cNvPr>
          <xdr:cNvSpPr txBox="1"/>
        </xdr:nvSpPr>
        <xdr:spPr>
          <a:xfrm>
            <a:off x="2779365" y="725278"/>
            <a:ext cx="699195" cy="254418"/>
          </a:xfrm>
          <a:prstGeom prst="rect">
            <a:avLst/>
          </a:prstGeom>
          <a:solidFill>
            <a:srgbClr val="AD49E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a:latin typeface="Amasis MT Pro Black" panose="02040A04050005020304" pitchFamily="18" charset="0"/>
              </a:rPr>
              <a:t>2025</a:t>
            </a:r>
          </a:p>
        </xdr:txBody>
      </xdr:sp>
    </xdr:grpSp>
    <xdr:clientData/>
  </xdr:twoCellAnchor>
  <xdr:twoCellAnchor editAs="absolute">
    <xdr:from>
      <xdr:col>12</xdr:col>
      <xdr:colOff>253999</xdr:colOff>
      <xdr:row>6</xdr:row>
      <xdr:rowOff>180974</xdr:rowOff>
    </xdr:from>
    <xdr:to>
      <xdr:col>20</xdr:col>
      <xdr:colOff>50800</xdr:colOff>
      <xdr:row>16</xdr:row>
      <xdr:rowOff>19049</xdr:rowOff>
    </xdr:to>
    <mc:AlternateContent xmlns:mc="http://schemas.openxmlformats.org/markup-compatibility/2006" xmlns:sle15="http://schemas.microsoft.com/office/drawing/2012/slicer">
      <mc:Choice Requires="sle15">
        <xdr:graphicFrame macro="">
          <xdr:nvGraphicFramePr>
            <xdr:cNvPr id="36" name="Keterangan 2">
              <a:extLst>
                <a:ext uri="{FF2B5EF4-FFF2-40B4-BE49-F238E27FC236}">
                  <a16:creationId xmlns:a16="http://schemas.microsoft.com/office/drawing/2014/main" id="{B7A0B3A8-4FAC-43B6-928E-B33C4D92D360}"/>
                </a:ext>
              </a:extLst>
            </xdr:cNvPr>
            <xdr:cNvGraphicFramePr/>
          </xdr:nvGraphicFramePr>
          <xdr:xfrm>
            <a:off x="0" y="0"/>
            <a:ext cx="0" cy="0"/>
          </xdr:xfrm>
          <a:graphic>
            <a:graphicData uri="http://schemas.microsoft.com/office/drawing/2010/slicer">
              <sle:slicer xmlns:sle="http://schemas.microsoft.com/office/drawing/2010/slicer" name="Keterangan 2"/>
            </a:graphicData>
          </a:graphic>
        </xdr:graphicFrame>
      </mc:Choice>
      <mc:Fallback xmlns="">
        <xdr:sp macro="" textlink="">
          <xdr:nvSpPr>
            <xdr:cNvPr id="0" name=""/>
            <xdr:cNvSpPr>
              <a:spLocks noTextEdit="1"/>
            </xdr:cNvSpPr>
          </xdr:nvSpPr>
          <xdr:spPr>
            <a:xfrm>
              <a:off x="13388473" y="1323974"/>
              <a:ext cx="4990432" cy="1933575"/>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225425</xdr:colOff>
      <xdr:row>16</xdr:row>
      <xdr:rowOff>85725</xdr:rowOff>
    </xdr:from>
    <xdr:to>
      <xdr:col>25</xdr:col>
      <xdr:colOff>320675</xdr:colOff>
      <xdr:row>27</xdr:row>
      <xdr:rowOff>133350</xdr:rowOff>
    </xdr:to>
    <mc:AlternateContent xmlns:mc="http://schemas.openxmlformats.org/markup-compatibility/2006" xmlns:sle15="http://schemas.microsoft.com/office/drawing/2012/slicer">
      <mc:Choice Requires="sle15">
        <xdr:graphicFrame macro="">
          <xdr:nvGraphicFramePr>
            <xdr:cNvPr id="37" name="Tanggal 1">
              <a:extLst>
                <a:ext uri="{FF2B5EF4-FFF2-40B4-BE49-F238E27FC236}">
                  <a16:creationId xmlns:a16="http://schemas.microsoft.com/office/drawing/2014/main" id="{9E69351D-CF99-4E82-A3B3-A33B2D8DD4FC}"/>
                </a:ext>
              </a:extLst>
            </xdr:cNvPr>
            <xdr:cNvGraphicFramePr/>
          </xdr:nvGraphicFramePr>
          <xdr:xfrm>
            <a:off x="0" y="0"/>
            <a:ext cx="0" cy="0"/>
          </xdr:xfrm>
          <a:graphic>
            <a:graphicData uri="http://schemas.microsoft.com/office/drawing/2010/slicer">
              <sle:slicer xmlns:sle="http://schemas.microsoft.com/office/drawing/2010/slicer" name="Tanggal 1"/>
            </a:graphicData>
          </a:graphic>
        </xdr:graphicFrame>
      </mc:Choice>
      <mc:Fallback xmlns="">
        <xdr:sp macro="" textlink="">
          <xdr:nvSpPr>
            <xdr:cNvPr id="0" name=""/>
            <xdr:cNvSpPr>
              <a:spLocks noTextEdit="1"/>
            </xdr:cNvSpPr>
          </xdr:nvSpPr>
          <xdr:spPr>
            <a:xfrm>
              <a:off x="13359899" y="3324225"/>
              <a:ext cx="8346908" cy="2143125"/>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1323975</xdr:colOff>
      <xdr:row>3</xdr:row>
      <xdr:rowOff>134728</xdr:rowOff>
    </xdr:from>
    <xdr:to>
      <xdr:col>2</xdr:col>
      <xdr:colOff>2152650</xdr:colOff>
      <xdr:row>5</xdr:row>
      <xdr:rowOff>95250</xdr:rowOff>
    </xdr:to>
    <xdr:grpSp>
      <xdr:nvGrpSpPr>
        <xdr:cNvPr id="45" name="Group 44">
          <a:hlinkClick xmlns:r="http://schemas.openxmlformats.org/officeDocument/2006/relationships" r:id="rId15"/>
          <a:extLst>
            <a:ext uri="{FF2B5EF4-FFF2-40B4-BE49-F238E27FC236}">
              <a16:creationId xmlns:a16="http://schemas.microsoft.com/office/drawing/2014/main" id="{FBDE901E-F737-A605-A83B-3BD277A5B739}"/>
            </a:ext>
          </a:extLst>
        </xdr:cNvPr>
        <xdr:cNvGrpSpPr/>
      </xdr:nvGrpSpPr>
      <xdr:grpSpPr>
        <a:xfrm>
          <a:off x="3339264" y="706228"/>
          <a:ext cx="828675" cy="341522"/>
          <a:chOff x="3333750" y="706228"/>
          <a:chExt cx="828675" cy="341522"/>
        </a:xfrm>
      </xdr:grpSpPr>
      <xdr:sp macro="" textlink="">
        <xdr:nvSpPr>
          <xdr:cNvPr id="39" name="Rectangle: Rounded Corners 38">
            <a:extLst>
              <a:ext uri="{FF2B5EF4-FFF2-40B4-BE49-F238E27FC236}">
                <a16:creationId xmlns:a16="http://schemas.microsoft.com/office/drawing/2014/main" id="{E3171DF4-6918-796D-E784-21D4CED4C363}"/>
              </a:ext>
            </a:extLst>
          </xdr:cNvPr>
          <xdr:cNvSpPr/>
        </xdr:nvSpPr>
        <xdr:spPr>
          <a:xfrm>
            <a:off x="3333750" y="714375"/>
            <a:ext cx="828675" cy="333375"/>
          </a:xfrm>
          <a:prstGeom prst="roundRect">
            <a:avLst/>
          </a:prstGeom>
          <a:gradFill flip="none" rotWithShape="1">
            <a:gsLst>
              <a:gs pos="0">
                <a:srgbClr val="AD49E1">
                  <a:shade val="30000"/>
                  <a:satMod val="115000"/>
                </a:srgbClr>
              </a:gs>
              <a:gs pos="50000">
                <a:srgbClr val="AD49E1">
                  <a:shade val="67500"/>
                  <a:satMod val="115000"/>
                </a:srgbClr>
              </a:gs>
              <a:gs pos="100000">
                <a:srgbClr val="AD49E1">
                  <a:shade val="100000"/>
                  <a:satMod val="115000"/>
                </a:srgbClr>
              </a:gs>
            </a:gsLst>
            <a:lin ang="16200000" scaled="1"/>
            <a:tileRect/>
          </a:gra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0" name="TextBox 39">
            <a:extLst>
              <a:ext uri="{FF2B5EF4-FFF2-40B4-BE49-F238E27FC236}">
                <a16:creationId xmlns:a16="http://schemas.microsoft.com/office/drawing/2014/main" id="{5047CCE1-8059-D786-1EE2-29F8F6213749}"/>
              </a:ext>
            </a:extLst>
          </xdr:cNvPr>
          <xdr:cNvSpPr txBox="1"/>
        </xdr:nvSpPr>
        <xdr:spPr>
          <a:xfrm>
            <a:off x="3398490" y="706228"/>
            <a:ext cx="699195" cy="254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a:latin typeface="Amasis MT Pro Black" panose="02040A04050005020304" pitchFamily="18" charset="0"/>
              </a:rPr>
              <a:t>2026</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11</xdr:col>
      <xdr:colOff>1115804</xdr:colOff>
      <xdr:row>2</xdr:row>
      <xdr:rowOff>0</xdr:rowOff>
    </xdr:to>
    <xdr:grpSp>
      <xdr:nvGrpSpPr>
        <xdr:cNvPr id="2" name="Group 1">
          <a:extLst>
            <a:ext uri="{FF2B5EF4-FFF2-40B4-BE49-F238E27FC236}">
              <a16:creationId xmlns:a16="http://schemas.microsoft.com/office/drawing/2014/main" id="{2B79979D-ED98-47F9-8783-D4F20A73EB22}"/>
            </a:ext>
          </a:extLst>
        </xdr:cNvPr>
        <xdr:cNvGrpSpPr/>
      </xdr:nvGrpSpPr>
      <xdr:grpSpPr>
        <a:xfrm>
          <a:off x="9525" y="0"/>
          <a:ext cx="13564979" cy="381000"/>
          <a:chOff x="0" y="0"/>
          <a:chExt cx="13554076" cy="381000"/>
        </a:xfrm>
      </xdr:grpSpPr>
      <xdr:grpSp>
        <xdr:nvGrpSpPr>
          <xdr:cNvPr id="3" name="Group 2">
            <a:extLst>
              <a:ext uri="{FF2B5EF4-FFF2-40B4-BE49-F238E27FC236}">
                <a16:creationId xmlns:a16="http://schemas.microsoft.com/office/drawing/2014/main" id="{C166EC6A-8CEB-CFD8-96DB-910F31F6B9BC}"/>
              </a:ext>
            </a:extLst>
          </xdr:cNvPr>
          <xdr:cNvGrpSpPr/>
        </xdr:nvGrpSpPr>
        <xdr:grpSpPr>
          <a:xfrm>
            <a:off x="0" y="0"/>
            <a:ext cx="13554076" cy="381000"/>
            <a:chOff x="0" y="0"/>
            <a:chExt cx="13554076" cy="381000"/>
          </a:xfrm>
        </xdr:grpSpPr>
        <xdr:grpSp>
          <xdr:nvGrpSpPr>
            <xdr:cNvPr id="5" name="Group 4">
              <a:extLst>
                <a:ext uri="{FF2B5EF4-FFF2-40B4-BE49-F238E27FC236}">
                  <a16:creationId xmlns:a16="http://schemas.microsoft.com/office/drawing/2014/main" id="{E3377CC2-0178-1F51-0BB0-D268EB2C100E}"/>
                </a:ext>
              </a:extLst>
            </xdr:cNvPr>
            <xdr:cNvGrpSpPr/>
          </xdr:nvGrpSpPr>
          <xdr:grpSpPr>
            <a:xfrm>
              <a:off x="0" y="0"/>
              <a:ext cx="13554076" cy="381000"/>
              <a:chOff x="0" y="0"/>
              <a:chExt cx="13554076" cy="381000"/>
            </a:xfrm>
          </xdr:grpSpPr>
          <xdr:grpSp>
            <xdr:nvGrpSpPr>
              <xdr:cNvPr id="7" name="Group 6">
                <a:extLst>
                  <a:ext uri="{FF2B5EF4-FFF2-40B4-BE49-F238E27FC236}">
                    <a16:creationId xmlns:a16="http://schemas.microsoft.com/office/drawing/2014/main" id="{7D003138-527F-9C03-D26E-09765949A92A}"/>
                  </a:ext>
                </a:extLst>
              </xdr:cNvPr>
              <xdr:cNvGrpSpPr/>
            </xdr:nvGrpSpPr>
            <xdr:grpSpPr>
              <a:xfrm>
                <a:off x="0" y="0"/>
                <a:ext cx="13554076" cy="360000"/>
                <a:chOff x="0" y="0"/>
                <a:chExt cx="13554076" cy="352424"/>
              </a:xfrm>
              <a:gradFill flip="none" rotWithShape="1">
                <a:gsLst>
                  <a:gs pos="0">
                    <a:srgbClr val="A888B5">
                      <a:shade val="30000"/>
                      <a:satMod val="115000"/>
                    </a:srgbClr>
                  </a:gs>
                  <a:gs pos="50000">
                    <a:srgbClr val="A888B5">
                      <a:shade val="67500"/>
                      <a:satMod val="115000"/>
                    </a:srgbClr>
                  </a:gs>
                  <a:gs pos="100000">
                    <a:srgbClr val="A888B5">
                      <a:shade val="100000"/>
                      <a:satMod val="115000"/>
                    </a:srgbClr>
                  </a:gs>
                </a:gsLst>
                <a:lin ang="2700000" scaled="1"/>
                <a:tileRect/>
              </a:gradFill>
              <a:effectLst>
                <a:outerShdw blurRad="50800" dist="38100" dir="5400000" algn="t" rotWithShape="0">
                  <a:prstClr val="black">
                    <a:alpha val="40000"/>
                  </a:prstClr>
                </a:outerShdw>
              </a:effectLst>
            </xdr:grpSpPr>
            <xdr:sp macro="" textlink="">
              <xdr:nvSpPr>
                <xdr:cNvPr id="9" name="Rectangle 8">
                  <a:extLst>
                    <a:ext uri="{FF2B5EF4-FFF2-40B4-BE49-F238E27FC236}">
                      <a16:creationId xmlns:a16="http://schemas.microsoft.com/office/drawing/2014/main" id="{075C756F-96DF-315D-3CB9-2EDEAB97D974}"/>
                    </a:ext>
                  </a:extLst>
                </xdr:cNvPr>
                <xdr:cNvSpPr/>
              </xdr:nvSpPr>
              <xdr:spPr>
                <a:xfrm>
                  <a:off x="0" y="0"/>
                  <a:ext cx="13554076" cy="352424"/>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10" name="TextBox 9">
                  <a:hlinkClick xmlns:r="http://schemas.openxmlformats.org/officeDocument/2006/relationships" r:id="rId1" tooltip="Reports"/>
                  <a:extLst>
                    <a:ext uri="{FF2B5EF4-FFF2-40B4-BE49-F238E27FC236}">
                      <a16:creationId xmlns:a16="http://schemas.microsoft.com/office/drawing/2014/main" id="{E25C2450-A7ED-95C0-FD02-E96A4B06C5CD}"/>
                    </a:ext>
                  </a:extLst>
                </xdr:cNvPr>
                <xdr:cNvSpPr txBox="1"/>
              </xdr:nvSpPr>
              <xdr:spPr>
                <a:xfrm>
                  <a:off x="10187147" y="37499"/>
                  <a:ext cx="986167"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Reports</a:t>
                  </a:r>
                </a:p>
              </xdr:txBody>
            </xdr:sp>
            <xdr:sp macro="" textlink="">
              <xdr:nvSpPr>
                <xdr:cNvPr id="11" name="TextBox 10">
                  <a:hlinkClick xmlns:r="http://schemas.openxmlformats.org/officeDocument/2006/relationships" r:id="rId2" tooltip="Project Status"/>
                  <a:extLst>
                    <a:ext uri="{FF2B5EF4-FFF2-40B4-BE49-F238E27FC236}">
                      <a16:creationId xmlns:a16="http://schemas.microsoft.com/office/drawing/2014/main" id="{8F1D974A-2C6B-0292-9658-0F3C8C9E7065}"/>
                    </a:ext>
                  </a:extLst>
                </xdr:cNvPr>
                <xdr:cNvSpPr txBox="1"/>
              </xdr:nvSpPr>
              <xdr:spPr>
                <a:xfrm>
                  <a:off x="10855602"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Dashboard</a:t>
                  </a:r>
                </a:p>
              </xdr:txBody>
            </xdr:sp>
            <xdr:sp macro="" textlink="">
              <xdr:nvSpPr>
                <xdr:cNvPr id="12" name="TextBox 11">
                  <a:hlinkClick xmlns:r="http://schemas.openxmlformats.org/officeDocument/2006/relationships" r:id="rId3" tooltip="Income Sources"/>
                  <a:extLst>
                    <a:ext uri="{FF2B5EF4-FFF2-40B4-BE49-F238E27FC236}">
                      <a16:creationId xmlns:a16="http://schemas.microsoft.com/office/drawing/2014/main" id="{66645282-539C-701B-08D0-0F6FE71CEE32}"/>
                    </a:ext>
                  </a:extLst>
                </xdr:cNvPr>
                <xdr:cNvSpPr txBox="1"/>
              </xdr:nvSpPr>
              <xdr:spPr>
                <a:xfrm>
                  <a:off x="7702827" y="28575"/>
                  <a:ext cx="1212640"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Genenral</a:t>
                  </a:r>
                  <a:r>
                    <a:rPr lang="en-ID" sz="1100" kern="1200" baseline="0">
                      <a:solidFill>
                        <a:schemeClr val="bg1"/>
                      </a:solidFill>
                      <a:latin typeface="Avenir Next LT Pro" panose="020B0504020202020204" pitchFamily="34" charset="0"/>
                    </a:rPr>
                    <a:t> Journal</a:t>
                  </a:r>
                  <a:endParaRPr lang="en-ID" sz="1100" kern="1200">
                    <a:solidFill>
                      <a:schemeClr val="bg1"/>
                    </a:solidFill>
                    <a:latin typeface="Avenir Next LT Pro" panose="020B0504020202020204" pitchFamily="34" charset="0"/>
                  </a:endParaRPr>
                </a:p>
              </xdr:txBody>
            </xdr:sp>
            <xdr:sp macro="" textlink="">
              <xdr:nvSpPr>
                <xdr:cNvPr id="13" name="TextBox 12">
                  <a:hlinkClick xmlns:r="http://schemas.openxmlformats.org/officeDocument/2006/relationships" r:id="rId4" tooltip="RAPBO"/>
                  <a:extLst>
                    <a:ext uri="{FF2B5EF4-FFF2-40B4-BE49-F238E27FC236}">
                      <a16:creationId xmlns:a16="http://schemas.microsoft.com/office/drawing/2014/main" id="{B2F7EE5E-8A62-5F14-223A-849185A46EA4}"/>
                    </a:ext>
                  </a:extLst>
                </xdr:cNvPr>
                <xdr:cNvSpPr txBox="1"/>
              </xdr:nvSpPr>
              <xdr:spPr>
                <a:xfrm>
                  <a:off x="9045431" y="28575"/>
                  <a:ext cx="1193944"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General</a:t>
                  </a:r>
                  <a:r>
                    <a:rPr lang="en-ID" sz="1100" kern="1200" baseline="0">
                      <a:solidFill>
                        <a:schemeClr val="bg1"/>
                      </a:solidFill>
                      <a:latin typeface="Avenir Next LT Pro" panose="020B0504020202020204" pitchFamily="34" charset="0"/>
                    </a:rPr>
                    <a:t> Ledger</a:t>
                  </a:r>
                  <a:endParaRPr lang="en-ID" sz="1100" kern="1200">
                    <a:solidFill>
                      <a:schemeClr val="bg1"/>
                    </a:solidFill>
                    <a:latin typeface="Avenir Next LT Pro" panose="020B0504020202020204" pitchFamily="34" charset="0"/>
                  </a:endParaRPr>
                </a:p>
              </xdr:txBody>
            </xdr:sp>
            <xdr:grpSp>
              <xdr:nvGrpSpPr>
                <xdr:cNvPr id="14" name="Group 13">
                  <a:extLst>
                    <a:ext uri="{FF2B5EF4-FFF2-40B4-BE49-F238E27FC236}">
                      <a16:creationId xmlns:a16="http://schemas.microsoft.com/office/drawing/2014/main" id="{05B35044-8AEC-2E27-FF2F-CE59C06C7E42}"/>
                    </a:ext>
                  </a:extLst>
                </xdr:cNvPr>
                <xdr:cNvGrpSpPr/>
              </xdr:nvGrpSpPr>
              <xdr:grpSpPr>
                <a:xfrm>
                  <a:off x="5016777" y="28575"/>
                  <a:ext cx="802998" cy="263405"/>
                  <a:chOff x="5016777" y="47625"/>
                  <a:chExt cx="802998" cy="263405"/>
                </a:xfrm>
                <a:grpFill/>
              </xdr:grpSpPr>
              <xdr:sp macro="" textlink="">
                <xdr:nvSpPr>
                  <xdr:cNvPr id="17" name="TextBox 16">
                    <a:hlinkClick xmlns:r="http://schemas.openxmlformats.org/officeDocument/2006/relationships" r:id="rId5" tooltip="Urbane Stitch Store"/>
                    <a:extLst>
                      <a:ext uri="{FF2B5EF4-FFF2-40B4-BE49-F238E27FC236}">
                        <a16:creationId xmlns:a16="http://schemas.microsoft.com/office/drawing/2014/main" id="{DD34BFCE-34D5-F1C0-6F01-F8E9A459804D}"/>
                      </a:ext>
                    </a:extLst>
                  </xdr:cNvPr>
                  <xdr:cNvSpPr txBox="1"/>
                </xdr:nvSpPr>
                <xdr:spPr>
                  <a:xfrm>
                    <a:off x="5016777" y="47625"/>
                    <a:ext cx="659861"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Browse</a:t>
                    </a:r>
                  </a:p>
                </xdr:txBody>
              </xdr:sp>
              <xdr:grpSp>
                <xdr:nvGrpSpPr>
                  <xdr:cNvPr id="18" name="Graphic 10" descr="Compass outline">
                    <a:extLst>
                      <a:ext uri="{FF2B5EF4-FFF2-40B4-BE49-F238E27FC236}">
                        <a16:creationId xmlns:a16="http://schemas.microsoft.com/office/drawing/2014/main" id="{028ED41F-4BA5-1E68-283A-46B0DD3E98E6}"/>
                      </a:ext>
                    </a:extLst>
                  </xdr:cNvPr>
                  <xdr:cNvGrpSpPr/>
                </xdr:nvGrpSpPr>
                <xdr:grpSpPr>
                  <a:xfrm>
                    <a:off x="5629275" y="85725"/>
                    <a:ext cx="190500" cy="190500"/>
                    <a:chOff x="5638800" y="1485900"/>
                    <a:chExt cx="609600" cy="609600"/>
                  </a:xfrm>
                  <a:grpFill/>
                </xdr:grpSpPr>
                <xdr:sp macro="" textlink="">
                  <xdr:nvSpPr>
                    <xdr:cNvPr id="19" name="Freeform: Shape 18">
                      <a:extLst>
                        <a:ext uri="{FF2B5EF4-FFF2-40B4-BE49-F238E27FC236}">
                          <a16:creationId xmlns:a16="http://schemas.microsoft.com/office/drawing/2014/main" id="{F7CAE6B8-5D0F-9A36-2158-AABC3E91DCA6}"/>
                        </a:ext>
                      </a:extLst>
                    </xdr:cNvPr>
                    <xdr:cNvSpPr/>
                  </xdr:nvSpPr>
                  <xdr:spPr>
                    <a:xfrm>
                      <a:off x="5638800" y="1485900"/>
                      <a:ext cx="609600" cy="609600"/>
                    </a:xfrm>
                    <a:custGeom>
                      <a:avLst/>
                      <a:gdLst>
                        <a:gd name="connsiteX0" fmla="*/ 304800 w 609600"/>
                        <a:gd name="connsiteY0" fmla="*/ 19050 h 609600"/>
                        <a:gd name="connsiteX1" fmla="*/ 590550 w 609600"/>
                        <a:gd name="connsiteY1" fmla="*/ 304800 h 609600"/>
                        <a:gd name="connsiteX2" fmla="*/ 304800 w 609600"/>
                        <a:gd name="connsiteY2" fmla="*/ 590550 h 609600"/>
                        <a:gd name="connsiteX3" fmla="*/ 19050 w 609600"/>
                        <a:gd name="connsiteY3" fmla="*/ 304800 h 609600"/>
                        <a:gd name="connsiteX4" fmla="*/ 304800 w 609600"/>
                        <a:gd name="connsiteY4" fmla="*/ 19050 h 609600"/>
                        <a:gd name="connsiteX5" fmla="*/ 304800 w 609600"/>
                        <a:gd name="connsiteY5" fmla="*/ 0 h 609600"/>
                        <a:gd name="connsiteX6" fmla="*/ 0 w 609600"/>
                        <a:gd name="connsiteY6" fmla="*/ 304800 h 609600"/>
                        <a:gd name="connsiteX7" fmla="*/ 304800 w 609600"/>
                        <a:gd name="connsiteY7" fmla="*/ 609600 h 609600"/>
                        <a:gd name="connsiteX8" fmla="*/ 609600 w 609600"/>
                        <a:gd name="connsiteY8" fmla="*/ 304800 h 609600"/>
                        <a:gd name="connsiteX9" fmla="*/ 304800 w 609600"/>
                        <a:gd name="connsiteY9" fmla="*/ 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609600" h="609600">
                          <a:moveTo>
                            <a:pt x="304800" y="19050"/>
                          </a:moveTo>
                          <a:cubicBezTo>
                            <a:pt x="462615" y="19050"/>
                            <a:pt x="590550" y="146985"/>
                            <a:pt x="590550" y="304800"/>
                          </a:cubicBezTo>
                          <a:cubicBezTo>
                            <a:pt x="590550" y="462615"/>
                            <a:pt x="462615" y="590550"/>
                            <a:pt x="304800" y="590550"/>
                          </a:cubicBezTo>
                          <a:cubicBezTo>
                            <a:pt x="146985" y="590550"/>
                            <a:pt x="19050" y="462615"/>
                            <a:pt x="19050" y="304800"/>
                          </a:cubicBezTo>
                          <a:cubicBezTo>
                            <a:pt x="19228" y="147058"/>
                            <a:pt x="147058" y="19228"/>
                            <a:pt x="304800" y="19050"/>
                          </a:cubicBezTo>
                          <a:moveTo>
                            <a:pt x="304800" y="0"/>
                          </a:moveTo>
                          <a:cubicBezTo>
                            <a:pt x="136464" y="0"/>
                            <a:pt x="0" y="136464"/>
                            <a:pt x="0" y="304800"/>
                          </a:cubicBezTo>
                          <a:cubicBezTo>
                            <a:pt x="0" y="473136"/>
                            <a:pt x="136464" y="609600"/>
                            <a:pt x="304800" y="609600"/>
                          </a:cubicBezTo>
                          <a:cubicBezTo>
                            <a:pt x="473136" y="609600"/>
                            <a:pt x="609600" y="473136"/>
                            <a:pt x="609600" y="304800"/>
                          </a:cubicBezTo>
                          <a:cubicBezTo>
                            <a:pt x="609411" y="136542"/>
                            <a:pt x="473058" y="189"/>
                            <a:pt x="304800" y="0"/>
                          </a:cubicBezTo>
                          <a:close/>
                        </a:path>
                      </a:pathLst>
                    </a:custGeom>
                    <a:grpFill/>
                    <a:ln w="9525" cap="flat">
                      <a:noFill/>
                      <a:prstDash val="solid"/>
                      <a:miter/>
                    </a:ln>
                  </xdr:spPr>
                  <xdr:txBody>
                    <a:bodyPr rtlCol="0" anchor="ctr"/>
                    <a:lstStyle/>
                    <a:p>
                      <a:endParaRPr lang="en-ID"/>
                    </a:p>
                  </xdr:txBody>
                </xdr:sp>
                <xdr:sp macro="" textlink="">
                  <xdr:nvSpPr>
                    <xdr:cNvPr id="20" name="Freeform: Shape 19">
                      <a:extLst>
                        <a:ext uri="{FF2B5EF4-FFF2-40B4-BE49-F238E27FC236}">
                          <a16:creationId xmlns:a16="http://schemas.microsoft.com/office/drawing/2014/main" id="{D5799389-95CC-AA18-B482-793DF9FFA7A6}"/>
                        </a:ext>
                      </a:extLst>
                    </xdr:cNvPr>
                    <xdr:cNvSpPr/>
                  </xdr:nvSpPr>
                  <xdr:spPr>
                    <a:xfrm>
                      <a:off x="5795010" y="1644014"/>
                      <a:ext cx="295275" cy="295275"/>
                    </a:xfrm>
                    <a:custGeom>
                      <a:avLst/>
                      <a:gdLst>
                        <a:gd name="connsiteX0" fmla="*/ 194939 w 295275"/>
                        <a:gd name="connsiteY0" fmla="*/ 194948 h 295275"/>
                        <a:gd name="connsiteX1" fmla="*/ 35023 w 295275"/>
                        <a:gd name="connsiteY1" fmla="*/ 260366 h 295275"/>
                        <a:gd name="connsiteX2" fmla="*/ 100336 w 295275"/>
                        <a:gd name="connsiteY2" fmla="*/ 102175 h 295275"/>
                        <a:gd name="connsiteX3" fmla="*/ 260252 w 295275"/>
                        <a:gd name="connsiteY3" fmla="*/ 35290 h 295275"/>
                        <a:gd name="connsiteX4" fmla="*/ 85725 w 295275"/>
                        <a:gd name="connsiteY4" fmla="*/ 87630 h 295275"/>
                        <a:gd name="connsiteX5" fmla="*/ 0 w 295275"/>
                        <a:gd name="connsiteY5" fmla="*/ 295275 h 295275"/>
                        <a:gd name="connsiteX6" fmla="*/ 209550 w 295275"/>
                        <a:gd name="connsiteY6" fmla="*/ 209550 h 295275"/>
                        <a:gd name="connsiteX7" fmla="*/ 295275 w 295275"/>
                        <a:gd name="connsiteY7" fmla="*/ 0 h 295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295275" h="295275">
                          <a:moveTo>
                            <a:pt x="194939" y="194948"/>
                          </a:moveTo>
                          <a:lnTo>
                            <a:pt x="35023" y="260366"/>
                          </a:lnTo>
                          <a:lnTo>
                            <a:pt x="100336" y="102175"/>
                          </a:lnTo>
                          <a:lnTo>
                            <a:pt x="260252" y="35290"/>
                          </a:lnTo>
                          <a:close/>
                          <a:moveTo>
                            <a:pt x="85725" y="87630"/>
                          </a:moveTo>
                          <a:lnTo>
                            <a:pt x="0" y="295275"/>
                          </a:lnTo>
                          <a:lnTo>
                            <a:pt x="209550" y="209550"/>
                          </a:lnTo>
                          <a:lnTo>
                            <a:pt x="295275" y="0"/>
                          </a:lnTo>
                          <a:close/>
                        </a:path>
                      </a:pathLst>
                    </a:custGeom>
                    <a:grpFill/>
                    <a:ln w="9525" cap="flat">
                      <a:noFill/>
                      <a:prstDash val="solid"/>
                      <a:miter/>
                    </a:ln>
                  </xdr:spPr>
                  <xdr:txBody>
                    <a:bodyPr rtlCol="0" anchor="ctr"/>
                    <a:lstStyle/>
                    <a:p>
                      <a:endParaRPr lang="en-ID"/>
                    </a:p>
                  </xdr:txBody>
                </xdr:sp>
                <xdr:sp macro="" textlink="">
                  <xdr:nvSpPr>
                    <xdr:cNvPr id="21" name="Freeform: Shape 20">
                      <a:extLst>
                        <a:ext uri="{FF2B5EF4-FFF2-40B4-BE49-F238E27FC236}">
                          <a16:creationId xmlns:a16="http://schemas.microsoft.com/office/drawing/2014/main" id="{9474F424-9B40-56A8-F065-B84CDE308CCD}"/>
                        </a:ext>
                      </a:extLst>
                    </xdr:cNvPr>
                    <xdr:cNvSpPr/>
                  </xdr:nvSpPr>
                  <xdr:spPr>
                    <a:xfrm>
                      <a:off x="5924550" y="1771650"/>
                      <a:ext cx="38100" cy="38100"/>
                    </a:xfrm>
                    <a:custGeom>
                      <a:avLst/>
                      <a:gdLst>
                        <a:gd name="connsiteX0" fmla="*/ 38100 w 38100"/>
                        <a:gd name="connsiteY0" fmla="*/ 19050 h 38100"/>
                        <a:gd name="connsiteX1" fmla="*/ 19050 w 38100"/>
                        <a:gd name="connsiteY1" fmla="*/ 38100 h 38100"/>
                        <a:gd name="connsiteX2" fmla="*/ 0 w 38100"/>
                        <a:gd name="connsiteY2" fmla="*/ 19050 h 38100"/>
                        <a:gd name="connsiteX3" fmla="*/ 19050 w 38100"/>
                        <a:gd name="connsiteY3" fmla="*/ 0 h 38100"/>
                        <a:gd name="connsiteX4" fmla="*/ 38100 w 38100"/>
                        <a:gd name="connsiteY4" fmla="*/ 19050 h 381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8100" h="38100">
                          <a:moveTo>
                            <a:pt x="38100" y="19050"/>
                          </a:moveTo>
                          <a:cubicBezTo>
                            <a:pt x="38100" y="29571"/>
                            <a:pt x="29571" y="38100"/>
                            <a:pt x="19050" y="38100"/>
                          </a:cubicBezTo>
                          <a:cubicBezTo>
                            <a:pt x="8529" y="38100"/>
                            <a:pt x="0" y="29571"/>
                            <a:pt x="0" y="19050"/>
                          </a:cubicBezTo>
                          <a:cubicBezTo>
                            <a:pt x="0" y="8529"/>
                            <a:pt x="8529" y="0"/>
                            <a:pt x="19050" y="0"/>
                          </a:cubicBezTo>
                          <a:cubicBezTo>
                            <a:pt x="29571" y="0"/>
                            <a:pt x="38100" y="8529"/>
                            <a:pt x="38100" y="19050"/>
                          </a:cubicBezTo>
                          <a:close/>
                        </a:path>
                      </a:pathLst>
                    </a:custGeom>
                    <a:grpFill/>
                    <a:ln w="9525" cap="flat">
                      <a:noFill/>
                      <a:prstDash val="solid"/>
                      <a:miter/>
                    </a:ln>
                  </xdr:spPr>
                  <xdr:txBody>
                    <a:bodyPr rtlCol="0" anchor="ctr"/>
                    <a:lstStyle/>
                    <a:p>
                      <a:endParaRPr lang="en-ID"/>
                    </a:p>
                  </xdr:txBody>
                </xdr:sp>
              </xdr:grpSp>
            </xdr:grpSp>
            <xdr:sp macro="" textlink="">
              <xdr:nvSpPr>
                <xdr:cNvPr id="15" name="Rectangle: Rounded Corners 14">
                  <a:extLst>
                    <a:ext uri="{FF2B5EF4-FFF2-40B4-BE49-F238E27FC236}">
                      <a16:creationId xmlns:a16="http://schemas.microsoft.com/office/drawing/2014/main" id="{803EA1AE-E27E-8692-A037-F25CF0B21437}"/>
                    </a:ext>
                  </a:extLst>
                </xdr:cNvPr>
                <xdr:cNvSpPr/>
              </xdr:nvSpPr>
              <xdr:spPr>
                <a:xfrm>
                  <a:off x="11382375" y="257175"/>
                  <a:ext cx="180000" cy="28800"/>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sp macro="" textlink="">
              <xdr:nvSpPr>
                <xdr:cNvPr id="16" name="TextBox 15">
                  <a:hlinkClick xmlns:r="http://schemas.openxmlformats.org/officeDocument/2006/relationships" r:id="rId6" tooltip="Project Status"/>
                  <a:extLst>
                    <a:ext uri="{FF2B5EF4-FFF2-40B4-BE49-F238E27FC236}">
                      <a16:creationId xmlns:a16="http://schemas.microsoft.com/office/drawing/2014/main" id="{DB9514FA-A819-0FC4-24B0-FDFCD3EFD0D0}"/>
                    </a:ext>
                  </a:extLst>
                </xdr:cNvPr>
                <xdr:cNvSpPr txBox="1"/>
              </xdr:nvSpPr>
              <xdr:spPr>
                <a:xfrm>
                  <a:off x="11646177" y="37499"/>
                  <a:ext cx="1058816" cy="26340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D" sz="1100" kern="1200">
                      <a:solidFill>
                        <a:schemeClr val="bg1"/>
                      </a:solidFill>
                      <a:latin typeface="Avenir Next LT Pro" panose="020B0504020202020204" pitchFamily="34" charset="0"/>
                    </a:rPr>
                    <a:t>Measurement</a:t>
                  </a:r>
                </a:p>
              </xdr:txBody>
            </xdr:sp>
          </xdr:grpSp>
          <xdr:pic>
            <xdr:nvPicPr>
              <xdr:cNvPr id="8" name="Picture 7">
                <a:hlinkClick xmlns:r="http://schemas.openxmlformats.org/officeDocument/2006/relationships" r:id="rId7" tooltip="Dashboard"/>
                <a:extLst>
                  <a:ext uri="{FF2B5EF4-FFF2-40B4-BE49-F238E27FC236}">
                    <a16:creationId xmlns:a16="http://schemas.microsoft.com/office/drawing/2014/main" id="{B8A527B4-2088-2DEA-9918-4DB3A70FC267}"/>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l="8016" t="35915" r="8861" b="35651"/>
              <a:stretch/>
            </xdr:blipFill>
            <xdr:spPr>
              <a:xfrm>
                <a:off x="123825" y="19050"/>
                <a:ext cx="1876426" cy="361950"/>
              </a:xfrm>
              <a:prstGeom prst="rect">
                <a:avLst/>
              </a:prstGeom>
            </xdr:spPr>
          </xdr:pic>
        </xdr:grpSp>
        <xdr:sp macro="" textlink="">
          <xdr:nvSpPr>
            <xdr:cNvPr id="6" name="Rectangle: Rounded Corners 5">
              <a:extLst>
                <a:ext uri="{FF2B5EF4-FFF2-40B4-BE49-F238E27FC236}">
                  <a16:creationId xmlns:a16="http://schemas.microsoft.com/office/drawing/2014/main" id="{7EFC89AE-1207-8F80-262B-7FC8D0D9192E}"/>
                </a:ext>
              </a:extLst>
            </xdr:cNvPr>
            <xdr:cNvSpPr/>
          </xdr:nvSpPr>
          <xdr:spPr>
            <a:xfrm>
              <a:off x="9153525" y="276225"/>
              <a:ext cx="180000" cy="288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grpSp>
      <xdr:pic>
        <xdr:nvPicPr>
          <xdr:cNvPr id="4" name="Graphic 3" descr="Compass outline">
            <a:extLst>
              <a:ext uri="{FF2B5EF4-FFF2-40B4-BE49-F238E27FC236}">
                <a16:creationId xmlns:a16="http://schemas.microsoft.com/office/drawing/2014/main" id="{DBA64A1B-A453-519D-3A3D-F094EC4C5055}"/>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838701" y="38101"/>
            <a:ext cx="266700" cy="266700"/>
          </a:xfrm>
          <a:prstGeom prst="rect">
            <a:avLst/>
          </a:prstGeom>
        </xdr:spPr>
      </xdr:pic>
    </xdr:grpSp>
    <xdr:clientData/>
  </xdr:twoCellAnchor>
  <xdr:twoCellAnchor editAs="absolute">
    <xdr:from>
      <xdr:col>0</xdr:col>
      <xdr:colOff>0</xdr:colOff>
      <xdr:row>2</xdr:row>
      <xdr:rowOff>133351</xdr:rowOff>
    </xdr:from>
    <xdr:to>
      <xdr:col>7</xdr:col>
      <xdr:colOff>19051</xdr:colOff>
      <xdr:row>9</xdr:row>
      <xdr:rowOff>85725</xdr:rowOff>
    </xdr:to>
    <mc:AlternateContent xmlns:mc="http://schemas.openxmlformats.org/markup-compatibility/2006" xmlns:sle15="http://schemas.microsoft.com/office/drawing/2012/slicer">
      <mc:Choice Requires="sle15">
        <xdr:graphicFrame macro="">
          <xdr:nvGraphicFramePr>
            <xdr:cNvPr id="25" name="Keterangan 1">
              <a:extLst>
                <a:ext uri="{FF2B5EF4-FFF2-40B4-BE49-F238E27FC236}">
                  <a16:creationId xmlns:a16="http://schemas.microsoft.com/office/drawing/2014/main" id="{B816C239-39F9-520E-E68C-2D4DFEC8622A}"/>
                </a:ext>
              </a:extLst>
            </xdr:cNvPr>
            <xdr:cNvGraphicFramePr/>
          </xdr:nvGraphicFramePr>
          <xdr:xfrm>
            <a:off x="0" y="0"/>
            <a:ext cx="0" cy="0"/>
          </xdr:xfrm>
          <a:graphic>
            <a:graphicData uri="http://schemas.microsoft.com/office/drawing/2010/slicer">
              <sle:slicer xmlns:sle="http://schemas.microsoft.com/office/drawing/2010/slicer" name="Keterangan 1"/>
            </a:graphicData>
          </a:graphic>
        </xdr:graphicFrame>
      </mc:Choice>
      <mc:Fallback xmlns="">
        <xdr:sp macro="" textlink="">
          <xdr:nvSpPr>
            <xdr:cNvPr id="0" name=""/>
            <xdr:cNvSpPr>
              <a:spLocks noTextEdit="1"/>
            </xdr:cNvSpPr>
          </xdr:nvSpPr>
          <xdr:spPr>
            <a:xfrm>
              <a:off x="0" y="514351"/>
              <a:ext cx="8896351" cy="1343024"/>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1329685</xdr:colOff>
      <xdr:row>1</xdr:row>
      <xdr:rowOff>178591</xdr:rowOff>
    </xdr:from>
    <xdr:to>
      <xdr:col>3</xdr:col>
      <xdr:colOff>565807</xdr:colOff>
      <xdr:row>5</xdr:row>
      <xdr:rowOff>89298</xdr:rowOff>
    </xdr:to>
    <xdr:pic>
      <xdr:nvPicPr>
        <xdr:cNvPr id="3" name="Picture 2">
          <a:extLst>
            <a:ext uri="{FF2B5EF4-FFF2-40B4-BE49-F238E27FC236}">
              <a16:creationId xmlns:a16="http://schemas.microsoft.com/office/drawing/2014/main" id="{1FF4EFA8-CCB2-90D5-60A4-C4DBD618DD0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6422" t="32222" r="6422" b="32222"/>
        <a:stretch/>
      </xdr:blipFill>
      <xdr:spPr>
        <a:xfrm>
          <a:off x="3095779" y="367107"/>
          <a:ext cx="1349481" cy="486175"/>
        </a:xfrm>
        <a:prstGeom prst="rect">
          <a:avLst/>
        </a:prstGeom>
      </xdr:spPr>
    </xdr:pic>
    <xdr:clientData/>
  </xdr:twoCellAnchor>
  <xdr:twoCellAnchor editAs="absolute">
    <xdr:from>
      <xdr:col>3</xdr:col>
      <xdr:colOff>867161</xdr:colOff>
      <xdr:row>3</xdr:row>
      <xdr:rowOff>1379</xdr:rowOff>
    </xdr:from>
    <xdr:to>
      <xdr:col>4</xdr:col>
      <xdr:colOff>594508</xdr:colOff>
      <xdr:row>5</xdr:row>
      <xdr:rowOff>84933</xdr:rowOff>
    </xdr:to>
    <xdr:grpSp>
      <xdr:nvGrpSpPr>
        <xdr:cNvPr id="2" name="Group 1">
          <a:hlinkClick xmlns:r="http://schemas.openxmlformats.org/officeDocument/2006/relationships" r:id="rId2"/>
          <a:extLst>
            <a:ext uri="{FF2B5EF4-FFF2-40B4-BE49-F238E27FC236}">
              <a16:creationId xmlns:a16="http://schemas.microsoft.com/office/drawing/2014/main" id="{2C1FE0F6-1187-4E21-AB6B-6348ECFF352C}"/>
            </a:ext>
          </a:extLst>
        </xdr:cNvPr>
        <xdr:cNvGrpSpPr/>
      </xdr:nvGrpSpPr>
      <xdr:grpSpPr>
        <a:xfrm>
          <a:off x="4508489" y="507395"/>
          <a:ext cx="828675" cy="341522"/>
          <a:chOff x="3333750" y="706228"/>
          <a:chExt cx="828675" cy="341522"/>
        </a:xfrm>
      </xdr:grpSpPr>
      <xdr:sp macro="" textlink="">
        <xdr:nvSpPr>
          <xdr:cNvPr id="4" name="Rectangle: Rounded Corners 3">
            <a:extLst>
              <a:ext uri="{FF2B5EF4-FFF2-40B4-BE49-F238E27FC236}">
                <a16:creationId xmlns:a16="http://schemas.microsoft.com/office/drawing/2014/main" id="{0EA6109F-BD8B-81DB-EA8A-BD3AE80CA912}"/>
              </a:ext>
            </a:extLst>
          </xdr:cNvPr>
          <xdr:cNvSpPr/>
        </xdr:nvSpPr>
        <xdr:spPr>
          <a:xfrm>
            <a:off x="3333750" y="714375"/>
            <a:ext cx="828675" cy="333375"/>
          </a:xfrm>
          <a:prstGeom prst="roundRect">
            <a:avLst/>
          </a:prstGeom>
          <a:solidFill>
            <a:srgbClr val="AD49E1"/>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5" name="TextBox 4">
            <a:extLst>
              <a:ext uri="{FF2B5EF4-FFF2-40B4-BE49-F238E27FC236}">
                <a16:creationId xmlns:a16="http://schemas.microsoft.com/office/drawing/2014/main" id="{F31C2709-FD0A-209F-C671-750471BBAE66}"/>
              </a:ext>
            </a:extLst>
          </xdr:cNvPr>
          <xdr:cNvSpPr txBox="1"/>
        </xdr:nvSpPr>
        <xdr:spPr>
          <a:xfrm>
            <a:off x="3398490" y="706228"/>
            <a:ext cx="699195" cy="254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a:latin typeface="Amasis MT Pro Black" panose="02040A04050005020304" pitchFamily="18" charset="0"/>
              </a:rPr>
              <a:t>2026</a:t>
            </a:r>
          </a:p>
        </xdr:txBody>
      </xdr:sp>
    </xdr:grpSp>
    <xdr:clientData/>
  </xdr:twoCellAnchor>
  <xdr:twoCellAnchor editAs="absolute">
    <xdr:from>
      <xdr:col>3</xdr:col>
      <xdr:colOff>863200</xdr:colOff>
      <xdr:row>1</xdr:row>
      <xdr:rowOff>138905</xdr:rowOff>
    </xdr:from>
    <xdr:to>
      <xdr:col>4</xdr:col>
      <xdr:colOff>590547</xdr:colOff>
      <xdr:row>4</xdr:row>
      <xdr:rowOff>25796</xdr:rowOff>
    </xdr:to>
    <xdr:grpSp>
      <xdr:nvGrpSpPr>
        <xdr:cNvPr id="6" name="Group 5">
          <a:hlinkClick xmlns:r="http://schemas.openxmlformats.org/officeDocument/2006/relationships" r:id="rId3"/>
          <a:extLst>
            <a:ext uri="{FF2B5EF4-FFF2-40B4-BE49-F238E27FC236}">
              <a16:creationId xmlns:a16="http://schemas.microsoft.com/office/drawing/2014/main" id="{3A8C9806-86EE-4143-837E-2D270517699F}"/>
            </a:ext>
          </a:extLst>
        </xdr:cNvPr>
        <xdr:cNvGrpSpPr/>
      </xdr:nvGrpSpPr>
      <xdr:grpSpPr>
        <a:xfrm>
          <a:off x="4504528" y="327421"/>
          <a:ext cx="828675" cy="333375"/>
          <a:chOff x="2714625" y="704850"/>
          <a:chExt cx="828675" cy="333375"/>
        </a:xfrm>
      </xdr:grpSpPr>
      <xdr:sp macro="" textlink="">
        <xdr:nvSpPr>
          <xdr:cNvPr id="7" name="Rectangle: Rounded Corners 6">
            <a:extLst>
              <a:ext uri="{FF2B5EF4-FFF2-40B4-BE49-F238E27FC236}">
                <a16:creationId xmlns:a16="http://schemas.microsoft.com/office/drawing/2014/main" id="{9948E732-6704-CFAA-0C9A-55272729A55E}"/>
              </a:ext>
            </a:extLst>
          </xdr:cNvPr>
          <xdr:cNvSpPr/>
        </xdr:nvSpPr>
        <xdr:spPr>
          <a:xfrm>
            <a:off x="2714625" y="704850"/>
            <a:ext cx="828675" cy="333375"/>
          </a:xfrm>
          <a:prstGeom prst="roundRect">
            <a:avLst/>
          </a:prstGeom>
          <a:gradFill flip="none" rotWithShape="1">
            <a:gsLst>
              <a:gs pos="0">
                <a:srgbClr val="AD49E1">
                  <a:shade val="30000"/>
                  <a:satMod val="115000"/>
                </a:srgbClr>
              </a:gs>
              <a:gs pos="50000">
                <a:srgbClr val="AD49E1">
                  <a:shade val="67500"/>
                  <a:satMod val="115000"/>
                </a:srgbClr>
              </a:gs>
              <a:gs pos="100000">
                <a:srgbClr val="AD49E1">
                  <a:shade val="100000"/>
                  <a:satMod val="115000"/>
                </a:srgbClr>
              </a:gs>
            </a:gsLst>
            <a:lin ang="13500000" scaled="1"/>
            <a:tileRect/>
          </a:gra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8" name="TextBox 7">
            <a:extLst>
              <a:ext uri="{FF2B5EF4-FFF2-40B4-BE49-F238E27FC236}">
                <a16:creationId xmlns:a16="http://schemas.microsoft.com/office/drawing/2014/main" id="{12D92B53-D7E3-CC58-B0E1-3C51E141F722}"/>
              </a:ext>
            </a:extLst>
          </xdr:cNvPr>
          <xdr:cNvSpPr txBox="1"/>
        </xdr:nvSpPr>
        <xdr:spPr>
          <a:xfrm>
            <a:off x="2779365" y="706228"/>
            <a:ext cx="699195" cy="254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a:latin typeface="Amasis MT Pro Black" panose="02040A04050005020304" pitchFamily="18" charset="0"/>
              </a:rPr>
              <a:t>2025</a:t>
            </a:r>
          </a:p>
        </xdr:txBody>
      </xdr:sp>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1329685</xdr:colOff>
      <xdr:row>1</xdr:row>
      <xdr:rowOff>178591</xdr:rowOff>
    </xdr:from>
    <xdr:to>
      <xdr:col>3</xdr:col>
      <xdr:colOff>565807</xdr:colOff>
      <xdr:row>5</xdr:row>
      <xdr:rowOff>89298</xdr:rowOff>
    </xdr:to>
    <xdr:pic>
      <xdr:nvPicPr>
        <xdr:cNvPr id="2" name="Picture 1">
          <a:extLst>
            <a:ext uri="{FF2B5EF4-FFF2-40B4-BE49-F238E27FC236}">
              <a16:creationId xmlns:a16="http://schemas.microsoft.com/office/drawing/2014/main" id="{CE617374-59B4-432C-B482-F3089250666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6422" t="32222" r="6422" b="32222"/>
        <a:stretch/>
      </xdr:blipFill>
      <xdr:spPr>
        <a:xfrm>
          <a:off x="3091810" y="369091"/>
          <a:ext cx="1350672" cy="501257"/>
        </a:xfrm>
        <a:prstGeom prst="rect">
          <a:avLst/>
        </a:prstGeom>
      </xdr:spPr>
    </xdr:pic>
    <xdr:clientData/>
  </xdr:twoCellAnchor>
  <xdr:twoCellAnchor editAs="absolute">
    <xdr:from>
      <xdr:col>3</xdr:col>
      <xdr:colOff>625075</xdr:colOff>
      <xdr:row>1</xdr:row>
      <xdr:rowOff>138905</xdr:rowOff>
    </xdr:from>
    <xdr:to>
      <xdr:col>4</xdr:col>
      <xdr:colOff>352422</xdr:colOff>
      <xdr:row>4</xdr:row>
      <xdr:rowOff>25796</xdr:rowOff>
    </xdr:to>
    <xdr:grpSp>
      <xdr:nvGrpSpPr>
        <xdr:cNvPr id="6" name="Group 5">
          <a:hlinkClick xmlns:r="http://schemas.openxmlformats.org/officeDocument/2006/relationships" r:id="rId2"/>
          <a:extLst>
            <a:ext uri="{FF2B5EF4-FFF2-40B4-BE49-F238E27FC236}">
              <a16:creationId xmlns:a16="http://schemas.microsoft.com/office/drawing/2014/main" id="{E2BC91CE-2E22-4CD1-A112-1C9F7169BD21}"/>
            </a:ext>
          </a:extLst>
        </xdr:cNvPr>
        <xdr:cNvGrpSpPr/>
      </xdr:nvGrpSpPr>
      <xdr:grpSpPr>
        <a:xfrm>
          <a:off x="4495233" y="329405"/>
          <a:ext cx="830242" cy="338075"/>
          <a:chOff x="2714625" y="704850"/>
          <a:chExt cx="828675" cy="333375"/>
        </a:xfrm>
        <a:solidFill>
          <a:srgbClr val="AD49E1"/>
        </a:solidFill>
        <a:effectLst/>
      </xdr:grpSpPr>
      <xdr:sp macro="" textlink="">
        <xdr:nvSpPr>
          <xdr:cNvPr id="7" name="Rectangle: Rounded Corners 6">
            <a:extLst>
              <a:ext uri="{FF2B5EF4-FFF2-40B4-BE49-F238E27FC236}">
                <a16:creationId xmlns:a16="http://schemas.microsoft.com/office/drawing/2014/main" id="{B8A571B0-60F9-F1C8-D531-C93E46C5815B}"/>
              </a:ext>
            </a:extLst>
          </xdr:cNvPr>
          <xdr:cNvSpPr/>
        </xdr:nvSpPr>
        <xdr:spPr>
          <a:xfrm>
            <a:off x="2714625" y="704850"/>
            <a:ext cx="828675" cy="333375"/>
          </a:xfrm>
          <a:prstGeom prst="roundRect">
            <a:avLst/>
          </a:prstGeom>
          <a:grp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8" name="TextBox 7">
            <a:extLst>
              <a:ext uri="{FF2B5EF4-FFF2-40B4-BE49-F238E27FC236}">
                <a16:creationId xmlns:a16="http://schemas.microsoft.com/office/drawing/2014/main" id="{ECDBB9F9-7312-9BA5-A36B-B00577585041}"/>
              </a:ext>
            </a:extLst>
          </xdr:cNvPr>
          <xdr:cNvSpPr txBox="1"/>
        </xdr:nvSpPr>
        <xdr:spPr>
          <a:xfrm>
            <a:off x="2779365" y="706228"/>
            <a:ext cx="699195" cy="254418"/>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a:latin typeface="Amasis MT Pro Black" panose="02040A04050005020304" pitchFamily="18" charset="0"/>
              </a:rPr>
              <a:t>2025</a:t>
            </a:r>
          </a:p>
        </xdr:txBody>
      </xdr:sp>
    </xdr:grpSp>
    <xdr:clientData/>
  </xdr:twoCellAnchor>
  <xdr:twoCellAnchor editAs="absolute">
    <xdr:from>
      <xdr:col>3</xdr:col>
      <xdr:colOff>629036</xdr:colOff>
      <xdr:row>3</xdr:row>
      <xdr:rowOff>1379</xdr:rowOff>
    </xdr:from>
    <xdr:to>
      <xdr:col>4</xdr:col>
      <xdr:colOff>356383</xdr:colOff>
      <xdr:row>5</xdr:row>
      <xdr:rowOff>84933</xdr:rowOff>
    </xdr:to>
    <xdr:grpSp>
      <xdr:nvGrpSpPr>
        <xdr:cNvPr id="9" name="Group 8">
          <a:hlinkClick xmlns:r="http://schemas.openxmlformats.org/officeDocument/2006/relationships" r:id="rId3"/>
          <a:extLst>
            <a:ext uri="{FF2B5EF4-FFF2-40B4-BE49-F238E27FC236}">
              <a16:creationId xmlns:a16="http://schemas.microsoft.com/office/drawing/2014/main" id="{2082750A-E1B6-FEAE-2A15-2E7BCF47E81D}"/>
            </a:ext>
          </a:extLst>
        </xdr:cNvPr>
        <xdr:cNvGrpSpPr/>
      </xdr:nvGrpSpPr>
      <xdr:grpSpPr>
        <a:xfrm>
          <a:off x="4499194" y="512721"/>
          <a:ext cx="830242" cy="344238"/>
          <a:chOff x="4508489" y="507395"/>
          <a:chExt cx="828675" cy="341522"/>
        </a:xfrm>
      </xdr:grpSpPr>
      <xdr:sp macro="" textlink="">
        <xdr:nvSpPr>
          <xdr:cNvPr id="4" name="Rectangle: Rounded Corners 3">
            <a:extLst>
              <a:ext uri="{FF2B5EF4-FFF2-40B4-BE49-F238E27FC236}">
                <a16:creationId xmlns:a16="http://schemas.microsoft.com/office/drawing/2014/main" id="{B406C9C0-9BF9-9B85-6619-A347A67A8FFD}"/>
              </a:ext>
            </a:extLst>
          </xdr:cNvPr>
          <xdr:cNvSpPr/>
        </xdr:nvSpPr>
        <xdr:spPr>
          <a:xfrm>
            <a:off x="4508489" y="515542"/>
            <a:ext cx="828675" cy="333375"/>
          </a:xfrm>
          <a:prstGeom prst="roundRect">
            <a:avLst/>
          </a:prstGeom>
          <a:gradFill flip="none" rotWithShape="1">
            <a:gsLst>
              <a:gs pos="0">
                <a:srgbClr val="AD49E1">
                  <a:shade val="30000"/>
                  <a:satMod val="115000"/>
                </a:srgbClr>
              </a:gs>
              <a:gs pos="50000">
                <a:srgbClr val="AD49E1">
                  <a:shade val="67500"/>
                  <a:satMod val="115000"/>
                </a:srgbClr>
              </a:gs>
              <a:gs pos="100000">
                <a:srgbClr val="AD49E1">
                  <a:shade val="100000"/>
                  <a:satMod val="115000"/>
                </a:srgbClr>
              </a:gs>
            </a:gsLst>
            <a:lin ang="5400000" scaled="1"/>
            <a:tileRect/>
          </a:gra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5" name="TextBox 4">
            <a:extLst>
              <a:ext uri="{FF2B5EF4-FFF2-40B4-BE49-F238E27FC236}">
                <a16:creationId xmlns:a16="http://schemas.microsoft.com/office/drawing/2014/main" id="{7AE62125-01FB-BB79-81F7-64445A051E12}"/>
              </a:ext>
            </a:extLst>
          </xdr:cNvPr>
          <xdr:cNvSpPr txBox="1"/>
        </xdr:nvSpPr>
        <xdr:spPr>
          <a:xfrm>
            <a:off x="4573229" y="507395"/>
            <a:ext cx="699195" cy="254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a:latin typeface="Amasis MT Pro Black" panose="02040A04050005020304" pitchFamily="18" charset="0"/>
              </a:rPr>
              <a:t>2026</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223546</xdr:colOff>
      <xdr:row>1</xdr:row>
      <xdr:rowOff>97195</xdr:rowOff>
    </xdr:from>
    <xdr:to>
      <xdr:col>1</xdr:col>
      <xdr:colOff>1750</xdr:colOff>
      <xdr:row>3</xdr:row>
      <xdr:rowOff>98945</xdr:rowOff>
    </xdr:to>
    <xdr:grpSp>
      <xdr:nvGrpSpPr>
        <xdr:cNvPr id="2" name="Group 1">
          <a:hlinkClick xmlns:r="http://schemas.openxmlformats.org/officeDocument/2006/relationships" r:id="rId1"/>
          <a:extLst>
            <a:ext uri="{FF2B5EF4-FFF2-40B4-BE49-F238E27FC236}">
              <a16:creationId xmlns:a16="http://schemas.microsoft.com/office/drawing/2014/main" id="{3402DB7D-D1FF-484D-95C8-3866468E633F}"/>
            </a:ext>
          </a:extLst>
        </xdr:cNvPr>
        <xdr:cNvGrpSpPr/>
      </xdr:nvGrpSpPr>
      <xdr:grpSpPr>
        <a:xfrm>
          <a:off x="223546" y="291583"/>
          <a:ext cx="390525" cy="390525"/>
          <a:chOff x="333375" y="171450"/>
          <a:chExt cx="390525" cy="390525"/>
        </a:xfrm>
      </xdr:grpSpPr>
      <xdr:sp macro="" textlink="">
        <xdr:nvSpPr>
          <xdr:cNvPr id="3" name="Oval 2">
            <a:extLst>
              <a:ext uri="{FF2B5EF4-FFF2-40B4-BE49-F238E27FC236}">
                <a16:creationId xmlns:a16="http://schemas.microsoft.com/office/drawing/2014/main" id="{7C08EEAC-2204-54A2-E9D3-FA9855B9F4EA}"/>
              </a:ext>
            </a:extLst>
          </xdr:cNvPr>
          <xdr:cNvSpPr/>
        </xdr:nvSpPr>
        <xdr:spPr>
          <a:xfrm>
            <a:off x="333375" y="171450"/>
            <a:ext cx="390525" cy="390525"/>
          </a:xfrm>
          <a:prstGeom prst="ellipse">
            <a:avLst/>
          </a:prstGeom>
          <a:solidFill>
            <a:srgbClr val="A888B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pic>
        <xdr:nvPicPr>
          <xdr:cNvPr id="4" name="Graphic 3" descr="Home outline">
            <a:extLst>
              <a:ext uri="{FF2B5EF4-FFF2-40B4-BE49-F238E27FC236}">
                <a16:creationId xmlns:a16="http://schemas.microsoft.com/office/drawing/2014/main" id="{2EE1B9AF-DA08-08CF-8D3E-703BD85EC311}"/>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85762" y="223837"/>
            <a:ext cx="285750" cy="285750"/>
          </a:xfrm>
          <a:prstGeom prst="rect">
            <a:avLst/>
          </a:prstGeom>
        </xdr:spPr>
      </xdr:pic>
    </xdr:grp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204107</xdr:colOff>
      <xdr:row>0</xdr:row>
      <xdr:rowOff>155511</xdr:rowOff>
    </xdr:from>
    <xdr:to>
      <xdr:col>0</xdr:col>
      <xdr:colOff>594632</xdr:colOff>
      <xdr:row>2</xdr:row>
      <xdr:rowOff>157260</xdr:rowOff>
    </xdr:to>
    <xdr:grpSp>
      <xdr:nvGrpSpPr>
        <xdr:cNvPr id="2" name="Group 1">
          <a:hlinkClick xmlns:r="http://schemas.openxmlformats.org/officeDocument/2006/relationships" r:id="rId1"/>
          <a:extLst>
            <a:ext uri="{FF2B5EF4-FFF2-40B4-BE49-F238E27FC236}">
              <a16:creationId xmlns:a16="http://schemas.microsoft.com/office/drawing/2014/main" id="{A1ABCC35-DEF5-440F-8512-B867FAE54B4C}"/>
            </a:ext>
          </a:extLst>
        </xdr:cNvPr>
        <xdr:cNvGrpSpPr/>
      </xdr:nvGrpSpPr>
      <xdr:grpSpPr>
        <a:xfrm>
          <a:off x="204107" y="155511"/>
          <a:ext cx="390525" cy="390525"/>
          <a:chOff x="333375" y="171450"/>
          <a:chExt cx="390525" cy="390525"/>
        </a:xfrm>
      </xdr:grpSpPr>
      <xdr:sp macro="" textlink="">
        <xdr:nvSpPr>
          <xdr:cNvPr id="3" name="Oval 2">
            <a:extLst>
              <a:ext uri="{FF2B5EF4-FFF2-40B4-BE49-F238E27FC236}">
                <a16:creationId xmlns:a16="http://schemas.microsoft.com/office/drawing/2014/main" id="{3A5DC9A0-ED1A-E48A-3B5B-EDE413C9F1CF}"/>
              </a:ext>
            </a:extLst>
          </xdr:cNvPr>
          <xdr:cNvSpPr/>
        </xdr:nvSpPr>
        <xdr:spPr>
          <a:xfrm>
            <a:off x="333375" y="171450"/>
            <a:ext cx="390525" cy="390525"/>
          </a:xfrm>
          <a:prstGeom prst="ellipse">
            <a:avLst/>
          </a:prstGeom>
          <a:solidFill>
            <a:srgbClr val="A888B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pic>
        <xdr:nvPicPr>
          <xdr:cNvPr id="4" name="Graphic 3" descr="Home outline">
            <a:extLst>
              <a:ext uri="{FF2B5EF4-FFF2-40B4-BE49-F238E27FC236}">
                <a16:creationId xmlns:a16="http://schemas.microsoft.com/office/drawing/2014/main" id="{14888EAC-581F-7FB5-2CB7-B732A33DF58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85762" y="223837"/>
            <a:ext cx="285750" cy="285750"/>
          </a:xfrm>
          <a:prstGeom prst="rect">
            <a:avLst/>
          </a:prstGeom>
        </xdr:spPr>
      </xdr:pic>
    </xdr:grp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219075</xdr:colOff>
      <xdr:row>0</xdr:row>
      <xdr:rowOff>152400</xdr:rowOff>
    </xdr:from>
    <xdr:to>
      <xdr:col>1</xdr:col>
      <xdr:colOff>0</xdr:colOff>
      <xdr:row>2</xdr:row>
      <xdr:rowOff>161925</xdr:rowOff>
    </xdr:to>
    <xdr:grpSp>
      <xdr:nvGrpSpPr>
        <xdr:cNvPr id="5" name="Group 4">
          <a:hlinkClick xmlns:r="http://schemas.openxmlformats.org/officeDocument/2006/relationships" r:id="rId1"/>
          <a:extLst>
            <a:ext uri="{FF2B5EF4-FFF2-40B4-BE49-F238E27FC236}">
              <a16:creationId xmlns:a16="http://schemas.microsoft.com/office/drawing/2014/main" id="{6047435D-D3C6-D59A-A73E-FD2E52A5ABFD}"/>
            </a:ext>
          </a:extLst>
        </xdr:cNvPr>
        <xdr:cNvGrpSpPr/>
      </xdr:nvGrpSpPr>
      <xdr:grpSpPr>
        <a:xfrm>
          <a:off x="219075" y="152400"/>
          <a:ext cx="390525" cy="390525"/>
          <a:chOff x="333375" y="171450"/>
          <a:chExt cx="390525" cy="390525"/>
        </a:xfrm>
      </xdr:grpSpPr>
      <xdr:sp macro="" textlink="">
        <xdr:nvSpPr>
          <xdr:cNvPr id="4" name="Oval 3">
            <a:extLst>
              <a:ext uri="{FF2B5EF4-FFF2-40B4-BE49-F238E27FC236}">
                <a16:creationId xmlns:a16="http://schemas.microsoft.com/office/drawing/2014/main" id="{E0D3014A-11BF-7EAA-274C-BD5CAD26CEA6}"/>
              </a:ext>
            </a:extLst>
          </xdr:cNvPr>
          <xdr:cNvSpPr/>
        </xdr:nvSpPr>
        <xdr:spPr>
          <a:xfrm>
            <a:off x="333375" y="171450"/>
            <a:ext cx="390525" cy="390525"/>
          </a:xfrm>
          <a:prstGeom prst="ellipse">
            <a:avLst/>
          </a:prstGeom>
          <a:solidFill>
            <a:srgbClr val="A888B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pic>
        <xdr:nvPicPr>
          <xdr:cNvPr id="3" name="Graphic 2" descr="Home outline">
            <a:extLst>
              <a:ext uri="{FF2B5EF4-FFF2-40B4-BE49-F238E27FC236}">
                <a16:creationId xmlns:a16="http://schemas.microsoft.com/office/drawing/2014/main" id="{9BF6402B-0930-572F-6514-8CA6E2B8100B}"/>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85762" y="223837"/>
            <a:ext cx="285750" cy="285750"/>
          </a:xfrm>
          <a:prstGeom prst="rect">
            <a:avLst/>
          </a:prstGeom>
        </xdr:spPr>
      </xdr:pic>
    </xdr:grpSp>
    <xdr:clientData/>
  </xdr:twoCellAnchor>
  <mc:AlternateContent xmlns:mc="http://schemas.openxmlformats.org/markup-compatibility/2006">
    <mc:Choice xmlns:a14="http://schemas.microsoft.com/office/drawing/2010/main" Requires="a14">
      <xdr:twoCellAnchor editAs="oneCell">
        <xdr:from>
          <xdr:col>1</xdr:col>
          <xdr:colOff>76200</xdr:colOff>
          <xdr:row>63</xdr:row>
          <xdr:rowOff>161925</xdr:rowOff>
        </xdr:from>
        <xdr:to>
          <xdr:col>8</xdr:col>
          <xdr:colOff>85725</xdr:colOff>
          <xdr:row>127</xdr:row>
          <xdr:rowOff>171450</xdr:rowOff>
        </xdr:to>
        <xdr:pic>
          <xdr:nvPicPr>
            <xdr:cNvPr id="2" name="Picture 1">
              <a:extLst>
                <a:ext uri="{FF2B5EF4-FFF2-40B4-BE49-F238E27FC236}">
                  <a16:creationId xmlns:a16="http://schemas.microsoft.com/office/drawing/2014/main" id="{475421B8-3FCD-1C5B-2B4C-996AA16126B3}"/>
                </a:ext>
              </a:extLst>
            </xdr:cNvPr>
            <xdr:cNvPicPr>
              <a:picLocks noChangeAspect="1" noChangeArrowheads="1"/>
              <a:extLst>
                <a:ext uri="{84589F7E-364E-4C9E-8A38-B11213B215E9}">
                  <a14:cameraTool cellRange="$B$1:$H$59" spid="_x0000_s31796"/>
                </a:ext>
              </a:extLst>
            </xdr:cNvPicPr>
          </xdr:nvPicPr>
          <xdr:blipFill>
            <a:blip xmlns:r="http://schemas.openxmlformats.org/officeDocument/2006/relationships" r:embed="rId4"/>
            <a:srcRect/>
            <a:stretch>
              <a:fillRect/>
            </a:stretch>
          </xdr:blipFill>
          <xdr:spPr bwMode="auto">
            <a:xfrm>
              <a:off x="685800" y="13115925"/>
              <a:ext cx="8382000" cy="12201525"/>
            </a:xfrm>
            <a:prstGeom prst="rect">
              <a:avLst/>
            </a:prstGeom>
            <a:solidFill>
              <a:srgbClr val="FFFFFF" mc:Ignorable="a14" a14:legacySpreadsheetColorIndex="9"/>
            </a:solidFill>
            <a:ln w="9525">
              <a:noFill/>
              <a:miter lim="800000"/>
              <a:headEnd/>
              <a:tailEnd/>
            </a:ln>
          </xdr:spPr>
        </xdr:pic>
        <xdr:clientData/>
      </xdr:twoCellAnchor>
    </mc:Choice>
    <mc:Fallback/>
  </mc:AlternateContent>
</xdr:wsDr>
</file>

<file path=xl/drawings/drawing15.xml><?xml version="1.0" encoding="utf-8"?>
<xdr:wsDr xmlns:xdr="http://schemas.openxmlformats.org/drawingml/2006/spreadsheetDrawing" xmlns:a="http://schemas.openxmlformats.org/drawingml/2006/main">
  <xdr:twoCellAnchor editAs="absolute">
    <xdr:from>
      <xdr:col>0</xdr:col>
      <xdr:colOff>97194</xdr:colOff>
      <xdr:row>0</xdr:row>
      <xdr:rowOff>174950</xdr:rowOff>
    </xdr:from>
    <xdr:to>
      <xdr:col>0</xdr:col>
      <xdr:colOff>487719</xdr:colOff>
      <xdr:row>2</xdr:row>
      <xdr:rowOff>176699</xdr:rowOff>
    </xdr:to>
    <xdr:grpSp>
      <xdr:nvGrpSpPr>
        <xdr:cNvPr id="2" name="Group 1">
          <a:hlinkClick xmlns:r="http://schemas.openxmlformats.org/officeDocument/2006/relationships" r:id="rId1"/>
          <a:extLst>
            <a:ext uri="{FF2B5EF4-FFF2-40B4-BE49-F238E27FC236}">
              <a16:creationId xmlns:a16="http://schemas.microsoft.com/office/drawing/2014/main" id="{F07C7081-D643-47A5-959B-FE79E6E7622E}"/>
            </a:ext>
          </a:extLst>
        </xdr:cNvPr>
        <xdr:cNvGrpSpPr/>
      </xdr:nvGrpSpPr>
      <xdr:grpSpPr>
        <a:xfrm>
          <a:off x="97194" y="174950"/>
          <a:ext cx="390525" cy="382749"/>
          <a:chOff x="333375" y="171450"/>
          <a:chExt cx="390525" cy="390525"/>
        </a:xfrm>
      </xdr:grpSpPr>
      <xdr:sp macro="" textlink="">
        <xdr:nvSpPr>
          <xdr:cNvPr id="3" name="Oval 2">
            <a:extLst>
              <a:ext uri="{FF2B5EF4-FFF2-40B4-BE49-F238E27FC236}">
                <a16:creationId xmlns:a16="http://schemas.microsoft.com/office/drawing/2014/main" id="{7FEDCB4F-00BB-31D9-489F-20E745254747}"/>
              </a:ext>
            </a:extLst>
          </xdr:cNvPr>
          <xdr:cNvSpPr/>
        </xdr:nvSpPr>
        <xdr:spPr>
          <a:xfrm>
            <a:off x="333375" y="171450"/>
            <a:ext cx="390525" cy="390525"/>
          </a:xfrm>
          <a:prstGeom prst="ellipse">
            <a:avLst/>
          </a:prstGeom>
          <a:solidFill>
            <a:srgbClr val="A888B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pic>
        <xdr:nvPicPr>
          <xdr:cNvPr id="4" name="Graphic 3" descr="Home outline">
            <a:extLst>
              <a:ext uri="{FF2B5EF4-FFF2-40B4-BE49-F238E27FC236}">
                <a16:creationId xmlns:a16="http://schemas.microsoft.com/office/drawing/2014/main" id="{B7078FB2-B40A-F25E-D25C-757291D7E3BD}"/>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85762" y="223837"/>
            <a:ext cx="285750" cy="285750"/>
          </a:xfrm>
          <a:prstGeom prst="rect">
            <a:avLst/>
          </a:prstGeom>
        </xdr:spPr>
      </xdr:pic>
    </xdr:grpSp>
    <xdr:clientData/>
  </xdr:twoCellAnchor>
  <mc:AlternateContent xmlns:mc="http://schemas.openxmlformats.org/markup-compatibility/2006">
    <mc:Choice xmlns:a14="http://schemas.microsoft.com/office/drawing/2010/main" Requires="a14">
      <xdr:twoCellAnchor editAs="oneCell">
        <xdr:from>
          <xdr:col>1</xdr:col>
          <xdr:colOff>142875</xdr:colOff>
          <xdr:row>61</xdr:row>
          <xdr:rowOff>66675</xdr:rowOff>
        </xdr:from>
        <xdr:to>
          <xdr:col>8</xdr:col>
          <xdr:colOff>152400</xdr:colOff>
          <xdr:row>116</xdr:row>
          <xdr:rowOff>19050</xdr:rowOff>
        </xdr:to>
        <xdr:pic>
          <xdr:nvPicPr>
            <xdr:cNvPr id="5" name="Picture 4">
              <a:extLst>
                <a:ext uri="{FF2B5EF4-FFF2-40B4-BE49-F238E27FC236}">
                  <a16:creationId xmlns:a16="http://schemas.microsoft.com/office/drawing/2014/main" id="{BA08E5CF-169B-A69F-7359-0734B3784E2F}"/>
                </a:ext>
              </a:extLst>
            </xdr:cNvPr>
            <xdr:cNvPicPr>
              <a:picLocks noChangeAspect="1" noChangeArrowheads="1"/>
              <a:extLst>
                <a:ext uri="{84589F7E-364E-4C9E-8A38-B11213B215E9}">
                  <a14:cameraTool cellRange="$A$1:$G$54" spid="_x0000_s32818"/>
                </a:ext>
              </a:extLst>
            </xdr:cNvPicPr>
          </xdr:nvPicPr>
          <xdr:blipFill>
            <a:blip xmlns:r="http://schemas.openxmlformats.org/officeDocument/2006/relationships" r:embed="rId4"/>
            <a:srcRect/>
            <a:stretch>
              <a:fillRect/>
            </a:stretch>
          </xdr:blipFill>
          <xdr:spPr bwMode="auto">
            <a:xfrm>
              <a:off x="752475" y="11820525"/>
              <a:ext cx="9886950" cy="10429875"/>
            </a:xfrm>
            <a:prstGeom prst="rect">
              <a:avLst/>
            </a:prstGeom>
            <a:solidFill>
              <a:srgbClr val="FFFFFF" mc:Ignorable="a14" a14:legacySpreadsheetColorIndex="9"/>
            </a:solidFill>
            <a:ln w="9525">
              <a:noFill/>
              <a:miter lim="800000"/>
              <a:headEnd/>
              <a:tailEnd/>
            </a:ln>
          </xdr:spPr>
        </xdr:pic>
        <xdr:clientData/>
      </xdr:twoCellAnchor>
    </mc:Choice>
    <mc:Fallback/>
  </mc:AlternateContent>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1</xdr:rowOff>
    </xdr:from>
    <xdr:to>
      <xdr:col>30</xdr:col>
      <xdr:colOff>317500</xdr:colOff>
      <xdr:row>36</xdr:row>
      <xdr:rowOff>190501</xdr:rowOff>
    </xdr:to>
    <xdr:grpSp>
      <xdr:nvGrpSpPr>
        <xdr:cNvPr id="91" name="Group 90">
          <a:extLst>
            <a:ext uri="{FF2B5EF4-FFF2-40B4-BE49-F238E27FC236}">
              <a16:creationId xmlns:a16="http://schemas.microsoft.com/office/drawing/2014/main" id="{EC5161FE-BB7E-C9B2-E79E-5C0BA73EF603}"/>
            </a:ext>
          </a:extLst>
        </xdr:cNvPr>
        <xdr:cNvGrpSpPr/>
      </xdr:nvGrpSpPr>
      <xdr:grpSpPr>
        <a:xfrm>
          <a:off x="0" y="1"/>
          <a:ext cx="21590000" cy="9334500"/>
          <a:chOff x="0" y="1"/>
          <a:chExt cx="21621750" cy="9334500"/>
        </a:xfrm>
      </xdr:grpSpPr>
      <xdr:grpSp>
        <xdr:nvGrpSpPr>
          <xdr:cNvPr id="53" name="Group 52">
            <a:extLst>
              <a:ext uri="{FF2B5EF4-FFF2-40B4-BE49-F238E27FC236}">
                <a16:creationId xmlns:a16="http://schemas.microsoft.com/office/drawing/2014/main" id="{1886211E-46B7-E1AE-F3B7-4A43ED4182BB}"/>
              </a:ext>
            </a:extLst>
          </xdr:cNvPr>
          <xdr:cNvGrpSpPr/>
        </xdr:nvGrpSpPr>
        <xdr:grpSpPr>
          <a:xfrm>
            <a:off x="0" y="1"/>
            <a:ext cx="21621750" cy="9334500"/>
            <a:chOff x="0" y="0"/>
            <a:chExt cx="17286515" cy="9572625"/>
          </a:xfrm>
        </xdr:grpSpPr>
        <xdr:sp macro="" textlink="">
          <xdr:nvSpPr>
            <xdr:cNvPr id="47" name="Rectangle 46">
              <a:extLst>
                <a:ext uri="{FF2B5EF4-FFF2-40B4-BE49-F238E27FC236}">
                  <a16:creationId xmlns:a16="http://schemas.microsoft.com/office/drawing/2014/main" id="{4C052D57-9A09-15CE-0480-6109D92121DC}"/>
                </a:ext>
              </a:extLst>
            </xdr:cNvPr>
            <xdr:cNvSpPr/>
          </xdr:nvSpPr>
          <xdr:spPr>
            <a:xfrm>
              <a:off x="14363699" y="0"/>
              <a:ext cx="1914525" cy="768096"/>
            </a:xfrm>
            <a:prstGeom prst="rect">
              <a:avLst/>
            </a:prstGeom>
            <a:solidFill>
              <a:srgbClr val="09C9C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50" name="Rectangle 49">
              <a:extLst>
                <a:ext uri="{FF2B5EF4-FFF2-40B4-BE49-F238E27FC236}">
                  <a16:creationId xmlns:a16="http://schemas.microsoft.com/office/drawing/2014/main" id="{2CFEA388-11EE-8303-8871-BBC5D1E9FD0F}"/>
                </a:ext>
              </a:extLst>
            </xdr:cNvPr>
            <xdr:cNvSpPr/>
          </xdr:nvSpPr>
          <xdr:spPr>
            <a:xfrm rot="5400000">
              <a:off x="15868648" y="392242"/>
              <a:ext cx="1552577" cy="768096"/>
            </a:xfrm>
            <a:prstGeom prst="rect">
              <a:avLst/>
            </a:prstGeom>
            <a:solidFill>
              <a:srgbClr val="F261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3" name="Rectangle 2">
              <a:extLst>
                <a:ext uri="{FF2B5EF4-FFF2-40B4-BE49-F238E27FC236}">
                  <a16:creationId xmlns:a16="http://schemas.microsoft.com/office/drawing/2014/main" id="{C7421969-1080-4B9C-AEF7-E1A4B7E1BBC2}"/>
                </a:ext>
              </a:extLst>
            </xdr:cNvPr>
            <xdr:cNvSpPr/>
          </xdr:nvSpPr>
          <xdr:spPr>
            <a:xfrm>
              <a:off x="0" y="771525"/>
              <a:ext cx="1371600" cy="768096"/>
            </a:xfrm>
            <a:prstGeom prst="rect">
              <a:avLst/>
            </a:prstGeom>
            <a:pattFill prst="wdDnDiag">
              <a:fgClr>
                <a:srgbClr val="003C4F"/>
              </a:fgClr>
              <a:bgClr>
                <a:srgbClr val="CC8409"/>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 name="Rectangle 3">
              <a:extLst>
                <a:ext uri="{FF2B5EF4-FFF2-40B4-BE49-F238E27FC236}">
                  <a16:creationId xmlns:a16="http://schemas.microsoft.com/office/drawing/2014/main" id="{E2B2FB9B-2DB3-EA30-A639-469938377FBC}"/>
                </a:ext>
              </a:extLst>
            </xdr:cNvPr>
            <xdr:cNvSpPr/>
          </xdr:nvSpPr>
          <xdr:spPr>
            <a:xfrm>
              <a:off x="2133600" y="0"/>
              <a:ext cx="571500" cy="768096"/>
            </a:xfrm>
            <a:prstGeom prst="rect">
              <a:avLst/>
            </a:prstGeom>
            <a:solidFill>
              <a:srgbClr val="003C4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5" name="Rectangle 4">
              <a:extLst>
                <a:ext uri="{FF2B5EF4-FFF2-40B4-BE49-F238E27FC236}">
                  <a16:creationId xmlns:a16="http://schemas.microsoft.com/office/drawing/2014/main" id="{2DBC7FF4-70F7-E7F1-1903-AB878238299E}"/>
                </a:ext>
              </a:extLst>
            </xdr:cNvPr>
            <xdr:cNvSpPr/>
          </xdr:nvSpPr>
          <xdr:spPr>
            <a:xfrm>
              <a:off x="1371600" y="771525"/>
              <a:ext cx="2971800" cy="768096"/>
            </a:xfrm>
            <a:prstGeom prst="rect">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grpSp>
          <xdr:nvGrpSpPr>
            <xdr:cNvPr id="13" name="Group 12">
              <a:extLst>
                <a:ext uri="{FF2B5EF4-FFF2-40B4-BE49-F238E27FC236}">
                  <a16:creationId xmlns:a16="http://schemas.microsoft.com/office/drawing/2014/main" id="{5226F38F-3EA3-BE00-C983-1C402511DBD9}"/>
                </a:ext>
              </a:extLst>
            </xdr:cNvPr>
            <xdr:cNvGrpSpPr/>
          </xdr:nvGrpSpPr>
          <xdr:grpSpPr>
            <a:xfrm>
              <a:off x="0" y="0"/>
              <a:ext cx="2167128" cy="768096"/>
              <a:chOff x="0" y="0"/>
              <a:chExt cx="2167128" cy="768096"/>
            </a:xfrm>
          </xdr:grpSpPr>
          <xdr:sp macro="" textlink="">
            <xdr:nvSpPr>
              <xdr:cNvPr id="2" name="Rectangle 1">
                <a:extLst>
                  <a:ext uri="{FF2B5EF4-FFF2-40B4-BE49-F238E27FC236}">
                    <a16:creationId xmlns:a16="http://schemas.microsoft.com/office/drawing/2014/main" id="{8BFD838C-6E2E-EEA8-B0A2-19996B678378}"/>
                  </a:ext>
                </a:extLst>
              </xdr:cNvPr>
              <xdr:cNvSpPr/>
            </xdr:nvSpPr>
            <xdr:spPr>
              <a:xfrm>
                <a:off x="0" y="0"/>
                <a:ext cx="2167128" cy="768096"/>
              </a:xfrm>
              <a:prstGeom prst="rect">
                <a:avLst/>
              </a:prstGeom>
              <a:solidFill>
                <a:srgbClr val="F261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6" name="Oval 5">
                <a:extLst>
                  <a:ext uri="{FF2B5EF4-FFF2-40B4-BE49-F238E27FC236}">
                    <a16:creationId xmlns:a16="http://schemas.microsoft.com/office/drawing/2014/main" id="{3544633B-DF66-96B5-7D47-DCE394DA6346}"/>
                  </a:ext>
                </a:extLst>
              </xdr:cNvPr>
              <xdr:cNvSpPr/>
            </xdr:nvSpPr>
            <xdr:spPr>
              <a:xfrm>
                <a:off x="104775" y="276225"/>
                <a:ext cx="183600" cy="182880"/>
              </a:xfrm>
              <a:prstGeom prst="ellipse">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7" name="Oval 6">
                <a:extLst>
                  <a:ext uri="{FF2B5EF4-FFF2-40B4-BE49-F238E27FC236}">
                    <a16:creationId xmlns:a16="http://schemas.microsoft.com/office/drawing/2014/main" id="{EBEE49E0-4C43-9851-A34D-4FD5FEC91BEB}"/>
                  </a:ext>
                </a:extLst>
              </xdr:cNvPr>
              <xdr:cNvSpPr/>
            </xdr:nvSpPr>
            <xdr:spPr>
              <a:xfrm>
                <a:off x="409575" y="276225"/>
                <a:ext cx="183600" cy="182880"/>
              </a:xfrm>
              <a:prstGeom prst="ellipse">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8" name="Oval 7">
                <a:extLst>
                  <a:ext uri="{FF2B5EF4-FFF2-40B4-BE49-F238E27FC236}">
                    <a16:creationId xmlns:a16="http://schemas.microsoft.com/office/drawing/2014/main" id="{DAE56C7D-C03A-B58A-D9E2-72B9B4FF51CE}"/>
                  </a:ext>
                </a:extLst>
              </xdr:cNvPr>
              <xdr:cNvSpPr/>
            </xdr:nvSpPr>
            <xdr:spPr>
              <a:xfrm>
                <a:off x="714375" y="276225"/>
                <a:ext cx="183600" cy="182880"/>
              </a:xfrm>
              <a:prstGeom prst="ellipse">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9" name="Oval 8">
                <a:extLst>
                  <a:ext uri="{FF2B5EF4-FFF2-40B4-BE49-F238E27FC236}">
                    <a16:creationId xmlns:a16="http://schemas.microsoft.com/office/drawing/2014/main" id="{F1A4EC7C-4F9C-7A18-99F0-84BEFF5B712A}"/>
                  </a:ext>
                </a:extLst>
              </xdr:cNvPr>
              <xdr:cNvSpPr/>
            </xdr:nvSpPr>
            <xdr:spPr>
              <a:xfrm>
                <a:off x="1019175" y="276225"/>
                <a:ext cx="183600" cy="182880"/>
              </a:xfrm>
              <a:prstGeom prst="ellipse">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grpSp>
        <xdr:grpSp>
          <xdr:nvGrpSpPr>
            <xdr:cNvPr id="14" name="Group 13">
              <a:extLst>
                <a:ext uri="{FF2B5EF4-FFF2-40B4-BE49-F238E27FC236}">
                  <a16:creationId xmlns:a16="http://schemas.microsoft.com/office/drawing/2014/main" id="{E66345DD-6FCD-B298-6D88-43728E5F9B6B}"/>
                </a:ext>
              </a:extLst>
            </xdr:cNvPr>
            <xdr:cNvGrpSpPr/>
          </xdr:nvGrpSpPr>
          <xdr:grpSpPr>
            <a:xfrm>
              <a:off x="2695574" y="0"/>
              <a:ext cx="2447927" cy="768096"/>
              <a:chOff x="2695574" y="0"/>
              <a:chExt cx="2447927" cy="768096"/>
            </a:xfrm>
          </xdr:grpSpPr>
          <xdr:sp macro="" textlink="">
            <xdr:nvSpPr>
              <xdr:cNvPr id="10" name="Rectangle 9">
                <a:extLst>
                  <a:ext uri="{FF2B5EF4-FFF2-40B4-BE49-F238E27FC236}">
                    <a16:creationId xmlns:a16="http://schemas.microsoft.com/office/drawing/2014/main" id="{5D778BE5-E56C-593B-1DCE-FB8A70FBDEE8}"/>
                  </a:ext>
                </a:extLst>
              </xdr:cNvPr>
              <xdr:cNvSpPr/>
            </xdr:nvSpPr>
            <xdr:spPr>
              <a:xfrm>
                <a:off x="2695574" y="0"/>
                <a:ext cx="1666875" cy="768096"/>
              </a:xfrm>
              <a:prstGeom prst="rect">
                <a:avLst/>
              </a:prstGeom>
              <a:solidFill>
                <a:srgbClr val="09C9C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12" name="Partial Circle 11">
                <a:extLst>
                  <a:ext uri="{FF2B5EF4-FFF2-40B4-BE49-F238E27FC236}">
                    <a16:creationId xmlns:a16="http://schemas.microsoft.com/office/drawing/2014/main" id="{B7B50CA7-1987-1524-A315-A138BA031C1C}"/>
                  </a:ext>
                </a:extLst>
              </xdr:cNvPr>
              <xdr:cNvSpPr/>
            </xdr:nvSpPr>
            <xdr:spPr>
              <a:xfrm>
                <a:off x="3571875" y="1"/>
                <a:ext cx="1571626" cy="762000"/>
              </a:xfrm>
              <a:prstGeom prst="pie">
                <a:avLst>
                  <a:gd name="adj1" fmla="val 5374670"/>
                  <a:gd name="adj2" fmla="val 16200000"/>
                </a:avLst>
              </a:prstGeom>
              <a:solidFill>
                <a:srgbClr val="003C4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solidFill>
                    <a:schemeClr val="tx1"/>
                  </a:solidFill>
                </a:endParaRPr>
              </a:p>
            </xdr:txBody>
          </xdr:sp>
        </xdr:grpSp>
        <xdr:sp macro="" textlink="">
          <xdr:nvSpPr>
            <xdr:cNvPr id="15" name="Rectangle 14">
              <a:extLst>
                <a:ext uri="{FF2B5EF4-FFF2-40B4-BE49-F238E27FC236}">
                  <a16:creationId xmlns:a16="http://schemas.microsoft.com/office/drawing/2014/main" id="{3137A2E0-3FCD-5D81-F833-A0010C2BDF60}"/>
                </a:ext>
              </a:extLst>
            </xdr:cNvPr>
            <xdr:cNvSpPr/>
          </xdr:nvSpPr>
          <xdr:spPr>
            <a:xfrm>
              <a:off x="4352925" y="0"/>
              <a:ext cx="1371600" cy="768096"/>
            </a:xfrm>
            <a:prstGeom prst="rect">
              <a:avLst/>
            </a:prstGeom>
            <a:pattFill prst="wdDnDiag">
              <a:fgClr>
                <a:srgbClr val="003C4F"/>
              </a:fgClr>
              <a:bgClr>
                <a:srgbClr val="CC8409"/>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16" name="Rectangle 15">
              <a:extLst>
                <a:ext uri="{FF2B5EF4-FFF2-40B4-BE49-F238E27FC236}">
                  <a16:creationId xmlns:a16="http://schemas.microsoft.com/office/drawing/2014/main" id="{122942BC-EEA6-7701-19D2-64204F6F9852}"/>
                </a:ext>
              </a:extLst>
            </xdr:cNvPr>
            <xdr:cNvSpPr/>
          </xdr:nvSpPr>
          <xdr:spPr>
            <a:xfrm>
              <a:off x="2743200" y="771525"/>
              <a:ext cx="2971800" cy="768096"/>
            </a:xfrm>
            <a:prstGeom prst="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grpSp>
          <xdr:nvGrpSpPr>
            <xdr:cNvPr id="19" name="Group 18">
              <a:extLst>
                <a:ext uri="{FF2B5EF4-FFF2-40B4-BE49-F238E27FC236}">
                  <a16:creationId xmlns:a16="http://schemas.microsoft.com/office/drawing/2014/main" id="{060D244D-B0BA-805E-BE01-EC4220A31467}"/>
                </a:ext>
              </a:extLst>
            </xdr:cNvPr>
            <xdr:cNvGrpSpPr/>
          </xdr:nvGrpSpPr>
          <xdr:grpSpPr>
            <a:xfrm>
              <a:off x="5724524" y="0"/>
              <a:ext cx="1466850" cy="781050"/>
              <a:chOff x="5724524" y="0"/>
              <a:chExt cx="1466850" cy="781050"/>
            </a:xfrm>
          </xdr:grpSpPr>
          <xdr:sp macro="" textlink="">
            <xdr:nvSpPr>
              <xdr:cNvPr id="17" name="Right Triangle 16">
                <a:extLst>
                  <a:ext uri="{FF2B5EF4-FFF2-40B4-BE49-F238E27FC236}">
                    <a16:creationId xmlns:a16="http://schemas.microsoft.com/office/drawing/2014/main" id="{FC2218A4-C251-BEB7-AF17-AABED896E3C8}"/>
                  </a:ext>
                </a:extLst>
              </xdr:cNvPr>
              <xdr:cNvSpPr/>
            </xdr:nvSpPr>
            <xdr:spPr>
              <a:xfrm>
                <a:off x="5724524" y="0"/>
                <a:ext cx="1438275" cy="771525"/>
              </a:xfrm>
              <a:prstGeom prst="rtTriangle">
                <a:avLst/>
              </a:prstGeom>
              <a:solidFill>
                <a:srgbClr val="F261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18" name="Right Triangle 17">
                <a:extLst>
                  <a:ext uri="{FF2B5EF4-FFF2-40B4-BE49-F238E27FC236}">
                    <a16:creationId xmlns:a16="http://schemas.microsoft.com/office/drawing/2014/main" id="{C61893B0-8B1B-CFA6-4C8F-173F959A901A}"/>
                  </a:ext>
                </a:extLst>
              </xdr:cNvPr>
              <xdr:cNvSpPr/>
            </xdr:nvSpPr>
            <xdr:spPr>
              <a:xfrm rot="10800000">
                <a:off x="5753099" y="9525"/>
                <a:ext cx="1438275" cy="771525"/>
              </a:xfrm>
              <a:prstGeom prst="rtTriangle">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grpSp>
        <xdr:grpSp>
          <xdr:nvGrpSpPr>
            <xdr:cNvPr id="20" name="Group 19">
              <a:extLst>
                <a:ext uri="{FF2B5EF4-FFF2-40B4-BE49-F238E27FC236}">
                  <a16:creationId xmlns:a16="http://schemas.microsoft.com/office/drawing/2014/main" id="{5BB9C0DC-2A2A-D929-017E-FBAE3304197A}"/>
                </a:ext>
              </a:extLst>
            </xdr:cNvPr>
            <xdr:cNvGrpSpPr/>
          </xdr:nvGrpSpPr>
          <xdr:grpSpPr>
            <a:xfrm>
              <a:off x="5714999" y="762000"/>
              <a:ext cx="1466850" cy="781050"/>
              <a:chOff x="5724524" y="0"/>
              <a:chExt cx="1466850" cy="781050"/>
            </a:xfrm>
          </xdr:grpSpPr>
          <xdr:sp macro="" textlink="">
            <xdr:nvSpPr>
              <xdr:cNvPr id="21" name="Right Triangle 20">
                <a:extLst>
                  <a:ext uri="{FF2B5EF4-FFF2-40B4-BE49-F238E27FC236}">
                    <a16:creationId xmlns:a16="http://schemas.microsoft.com/office/drawing/2014/main" id="{D67CA5EF-33E4-58FE-FD37-944B3649C0C3}"/>
                  </a:ext>
                </a:extLst>
              </xdr:cNvPr>
              <xdr:cNvSpPr/>
            </xdr:nvSpPr>
            <xdr:spPr>
              <a:xfrm>
                <a:off x="5724524" y="0"/>
                <a:ext cx="1438275" cy="771525"/>
              </a:xfrm>
              <a:prstGeom prst="rtTriangle">
                <a:avLst/>
              </a:prstGeom>
              <a:solidFill>
                <a:srgbClr val="003C4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22" name="Right Triangle 21">
                <a:extLst>
                  <a:ext uri="{FF2B5EF4-FFF2-40B4-BE49-F238E27FC236}">
                    <a16:creationId xmlns:a16="http://schemas.microsoft.com/office/drawing/2014/main" id="{918704B2-D0AE-F627-AF67-F2B229ECEC30}"/>
                  </a:ext>
                </a:extLst>
              </xdr:cNvPr>
              <xdr:cNvSpPr/>
            </xdr:nvSpPr>
            <xdr:spPr>
              <a:xfrm rot="10800000">
                <a:off x="5753099" y="9525"/>
                <a:ext cx="1438275" cy="771525"/>
              </a:xfrm>
              <a:prstGeom prst="rtTriangle">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grpSp>
        <xdr:sp macro="" textlink="">
          <xdr:nvSpPr>
            <xdr:cNvPr id="24" name="Rectangle 23">
              <a:extLst>
                <a:ext uri="{FF2B5EF4-FFF2-40B4-BE49-F238E27FC236}">
                  <a16:creationId xmlns:a16="http://schemas.microsoft.com/office/drawing/2014/main" id="{C1E8ED45-3507-E1B0-E4DF-17F62690CB16}"/>
                </a:ext>
              </a:extLst>
            </xdr:cNvPr>
            <xdr:cNvSpPr/>
          </xdr:nvSpPr>
          <xdr:spPr>
            <a:xfrm>
              <a:off x="7181849" y="771525"/>
              <a:ext cx="1914525" cy="768096"/>
            </a:xfrm>
            <a:prstGeom prst="rect">
              <a:avLst/>
            </a:prstGeom>
            <a:solidFill>
              <a:srgbClr val="CF732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25" name="Rectangle 24">
              <a:extLst>
                <a:ext uri="{FF2B5EF4-FFF2-40B4-BE49-F238E27FC236}">
                  <a16:creationId xmlns:a16="http://schemas.microsoft.com/office/drawing/2014/main" id="{C244B6F7-28F7-5B32-3549-691FAB8E3BF4}"/>
                </a:ext>
              </a:extLst>
            </xdr:cNvPr>
            <xdr:cNvSpPr/>
          </xdr:nvSpPr>
          <xdr:spPr>
            <a:xfrm>
              <a:off x="7181849" y="0"/>
              <a:ext cx="1914525" cy="768096"/>
            </a:xfrm>
            <a:prstGeom prst="rect">
              <a:avLst/>
            </a:prstGeom>
            <a:solidFill>
              <a:srgbClr val="09C9C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grpSp>
          <xdr:nvGrpSpPr>
            <xdr:cNvPr id="28" name="Group 27">
              <a:extLst>
                <a:ext uri="{FF2B5EF4-FFF2-40B4-BE49-F238E27FC236}">
                  <a16:creationId xmlns:a16="http://schemas.microsoft.com/office/drawing/2014/main" id="{E97D4A76-9952-A176-1CEA-E16FAF3185AC}"/>
                </a:ext>
              </a:extLst>
            </xdr:cNvPr>
            <xdr:cNvGrpSpPr/>
          </xdr:nvGrpSpPr>
          <xdr:grpSpPr>
            <a:xfrm>
              <a:off x="9096374" y="0"/>
              <a:ext cx="1914525" cy="771525"/>
              <a:chOff x="9096374" y="0"/>
              <a:chExt cx="1914525" cy="771525"/>
            </a:xfrm>
          </xdr:grpSpPr>
          <xdr:sp macro="" textlink="">
            <xdr:nvSpPr>
              <xdr:cNvPr id="26" name="Rectangle 25">
                <a:extLst>
                  <a:ext uri="{FF2B5EF4-FFF2-40B4-BE49-F238E27FC236}">
                    <a16:creationId xmlns:a16="http://schemas.microsoft.com/office/drawing/2014/main" id="{464D3D77-D5C1-990F-F0A9-AA643962F57B}"/>
                  </a:ext>
                </a:extLst>
              </xdr:cNvPr>
              <xdr:cNvSpPr/>
            </xdr:nvSpPr>
            <xdr:spPr>
              <a:xfrm>
                <a:off x="9096374" y="0"/>
                <a:ext cx="1914525" cy="390525"/>
              </a:xfrm>
              <a:prstGeom prst="rect">
                <a:avLst/>
              </a:prstGeom>
              <a:solidFill>
                <a:srgbClr val="F261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27" name="Rectangle 26">
                <a:extLst>
                  <a:ext uri="{FF2B5EF4-FFF2-40B4-BE49-F238E27FC236}">
                    <a16:creationId xmlns:a16="http://schemas.microsoft.com/office/drawing/2014/main" id="{961CC881-EFCE-2FA0-60B8-575E8E986CA2}"/>
                  </a:ext>
                </a:extLst>
              </xdr:cNvPr>
              <xdr:cNvSpPr/>
            </xdr:nvSpPr>
            <xdr:spPr>
              <a:xfrm>
                <a:off x="9096374" y="381000"/>
                <a:ext cx="1914525" cy="390525"/>
              </a:xfrm>
              <a:prstGeom prst="rect">
                <a:avLst/>
              </a:prstGeom>
              <a:solidFill>
                <a:srgbClr val="003C4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grpSp>
        <xdr:sp macro="" textlink="">
          <xdr:nvSpPr>
            <xdr:cNvPr id="29" name="Rectangle 28">
              <a:extLst>
                <a:ext uri="{FF2B5EF4-FFF2-40B4-BE49-F238E27FC236}">
                  <a16:creationId xmlns:a16="http://schemas.microsoft.com/office/drawing/2014/main" id="{4E675520-5724-F4E3-B82F-14F2C92B3014}"/>
                </a:ext>
              </a:extLst>
            </xdr:cNvPr>
            <xdr:cNvSpPr/>
          </xdr:nvSpPr>
          <xdr:spPr>
            <a:xfrm>
              <a:off x="9096374" y="771525"/>
              <a:ext cx="3819526" cy="768096"/>
            </a:xfrm>
            <a:prstGeom prst="rect">
              <a:avLst/>
            </a:prstGeom>
            <a:solidFill>
              <a:srgbClr val="72727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30" name="Rectangle 29">
              <a:extLst>
                <a:ext uri="{FF2B5EF4-FFF2-40B4-BE49-F238E27FC236}">
                  <a16:creationId xmlns:a16="http://schemas.microsoft.com/office/drawing/2014/main" id="{4557A4DA-C709-6892-9712-2CCCE1A950A4}"/>
                </a:ext>
              </a:extLst>
            </xdr:cNvPr>
            <xdr:cNvSpPr/>
          </xdr:nvSpPr>
          <xdr:spPr>
            <a:xfrm>
              <a:off x="11010899" y="0"/>
              <a:ext cx="1914525" cy="768096"/>
            </a:xfrm>
            <a:prstGeom prst="rect">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33" name="Isosceles Triangle 32">
              <a:extLst>
                <a:ext uri="{FF2B5EF4-FFF2-40B4-BE49-F238E27FC236}">
                  <a16:creationId xmlns:a16="http://schemas.microsoft.com/office/drawing/2014/main" id="{0915D18F-93A8-2EB7-8800-8D827AFC2761}"/>
                </a:ext>
              </a:extLst>
            </xdr:cNvPr>
            <xdr:cNvSpPr/>
          </xdr:nvSpPr>
          <xdr:spPr>
            <a:xfrm rot="10800000">
              <a:off x="11039473" y="0"/>
              <a:ext cx="1866901" cy="790575"/>
            </a:xfrm>
            <a:prstGeom prst="triangle">
              <a:avLst>
                <a:gd name="adj" fmla="val 49485"/>
              </a:avLst>
            </a:prstGeom>
            <a:solidFill>
              <a:srgbClr val="003C4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grpSp>
          <xdr:nvGrpSpPr>
            <xdr:cNvPr id="40" name="Group 39">
              <a:extLst>
                <a:ext uri="{FF2B5EF4-FFF2-40B4-BE49-F238E27FC236}">
                  <a16:creationId xmlns:a16="http://schemas.microsoft.com/office/drawing/2014/main" id="{898AA538-BFCB-EE84-C477-2A82612B947C}"/>
                </a:ext>
              </a:extLst>
            </xdr:cNvPr>
            <xdr:cNvGrpSpPr/>
          </xdr:nvGrpSpPr>
          <xdr:grpSpPr>
            <a:xfrm flipH="1">
              <a:off x="12906374" y="0"/>
              <a:ext cx="1476375" cy="1543050"/>
              <a:chOff x="12906374" y="0"/>
              <a:chExt cx="1476375" cy="1543050"/>
            </a:xfrm>
          </xdr:grpSpPr>
          <xdr:grpSp>
            <xdr:nvGrpSpPr>
              <xdr:cNvPr id="34" name="Group 33">
                <a:extLst>
                  <a:ext uri="{FF2B5EF4-FFF2-40B4-BE49-F238E27FC236}">
                    <a16:creationId xmlns:a16="http://schemas.microsoft.com/office/drawing/2014/main" id="{5157CD59-8DF8-6CD6-2E12-133D8CB715E5}"/>
                  </a:ext>
                </a:extLst>
              </xdr:cNvPr>
              <xdr:cNvGrpSpPr/>
            </xdr:nvGrpSpPr>
            <xdr:grpSpPr>
              <a:xfrm>
                <a:off x="12915899" y="0"/>
                <a:ext cx="1466850" cy="781050"/>
                <a:chOff x="5724524" y="0"/>
                <a:chExt cx="1466850" cy="781050"/>
              </a:xfrm>
            </xdr:grpSpPr>
            <xdr:sp macro="" textlink="">
              <xdr:nvSpPr>
                <xdr:cNvPr id="35" name="Right Triangle 34">
                  <a:extLst>
                    <a:ext uri="{FF2B5EF4-FFF2-40B4-BE49-F238E27FC236}">
                      <a16:creationId xmlns:a16="http://schemas.microsoft.com/office/drawing/2014/main" id="{4653C27D-8952-E5E3-385C-4C5F9776DAC2}"/>
                    </a:ext>
                  </a:extLst>
                </xdr:cNvPr>
                <xdr:cNvSpPr/>
              </xdr:nvSpPr>
              <xdr:spPr>
                <a:xfrm>
                  <a:off x="5724524" y="0"/>
                  <a:ext cx="1438275" cy="771525"/>
                </a:xfrm>
                <a:prstGeom prst="rtTriangle">
                  <a:avLst/>
                </a:prstGeom>
                <a:solidFill>
                  <a:srgbClr val="F2617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36" name="Right Triangle 35">
                  <a:extLst>
                    <a:ext uri="{FF2B5EF4-FFF2-40B4-BE49-F238E27FC236}">
                      <a16:creationId xmlns:a16="http://schemas.microsoft.com/office/drawing/2014/main" id="{E43EA230-53DA-B85F-6019-8F80415977F5}"/>
                    </a:ext>
                  </a:extLst>
                </xdr:cNvPr>
                <xdr:cNvSpPr/>
              </xdr:nvSpPr>
              <xdr:spPr>
                <a:xfrm rot="10800000">
                  <a:off x="5753099" y="9525"/>
                  <a:ext cx="1438275" cy="771525"/>
                </a:xfrm>
                <a:prstGeom prst="rtTriangle">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grpSp>
          <xdr:grpSp>
            <xdr:nvGrpSpPr>
              <xdr:cNvPr id="37" name="Group 36">
                <a:extLst>
                  <a:ext uri="{FF2B5EF4-FFF2-40B4-BE49-F238E27FC236}">
                    <a16:creationId xmlns:a16="http://schemas.microsoft.com/office/drawing/2014/main" id="{BE97AD4E-168E-441E-4F3E-16D67FB26F69}"/>
                  </a:ext>
                </a:extLst>
              </xdr:cNvPr>
              <xdr:cNvGrpSpPr/>
            </xdr:nvGrpSpPr>
            <xdr:grpSpPr>
              <a:xfrm>
                <a:off x="12906374" y="762000"/>
                <a:ext cx="1466850" cy="781050"/>
                <a:chOff x="5724524" y="0"/>
                <a:chExt cx="1466850" cy="781050"/>
              </a:xfrm>
            </xdr:grpSpPr>
            <xdr:sp macro="" textlink="">
              <xdr:nvSpPr>
                <xdr:cNvPr id="38" name="Right Triangle 37">
                  <a:extLst>
                    <a:ext uri="{FF2B5EF4-FFF2-40B4-BE49-F238E27FC236}">
                      <a16:creationId xmlns:a16="http://schemas.microsoft.com/office/drawing/2014/main" id="{35F9E296-591A-FF17-A8DB-A1B56B351936}"/>
                    </a:ext>
                  </a:extLst>
                </xdr:cNvPr>
                <xdr:cNvSpPr/>
              </xdr:nvSpPr>
              <xdr:spPr>
                <a:xfrm>
                  <a:off x="5724524" y="0"/>
                  <a:ext cx="1438275" cy="771525"/>
                </a:xfrm>
                <a:prstGeom prst="rtTriangle">
                  <a:avLst/>
                </a:prstGeom>
                <a:solidFill>
                  <a:srgbClr val="003C4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39" name="Right Triangle 38">
                  <a:extLst>
                    <a:ext uri="{FF2B5EF4-FFF2-40B4-BE49-F238E27FC236}">
                      <a16:creationId xmlns:a16="http://schemas.microsoft.com/office/drawing/2014/main" id="{2D76C129-3B4C-BF91-35E0-C65299696D5F}"/>
                    </a:ext>
                  </a:extLst>
                </xdr:cNvPr>
                <xdr:cNvSpPr/>
              </xdr:nvSpPr>
              <xdr:spPr>
                <a:xfrm rot="10800000">
                  <a:off x="5753099" y="9525"/>
                  <a:ext cx="1438275" cy="771525"/>
                </a:xfrm>
                <a:prstGeom prst="rtTriangle">
                  <a:avLst/>
                </a:prstGeom>
                <a:solidFill>
                  <a:srgbClr val="F5DF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grpSp>
        </xdr:grpSp>
        <xdr:sp macro="" textlink="">
          <xdr:nvSpPr>
            <xdr:cNvPr id="41" name="Rectangle: Rounded Corners 40">
              <a:extLst>
                <a:ext uri="{FF2B5EF4-FFF2-40B4-BE49-F238E27FC236}">
                  <a16:creationId xmlns:a16="http://schemas.microsoft.com/office/drawing/2014/main" id="{9DA3043B-9D0D-6422-4260-7B6FF46A21A1}"/>
                </a:ext>
              </a:extLst>
            </xdr:cNvPr>
            <xdr:cNvSpPr/>
          </xdr:nvSpPr>
          <xdr:spPr>
            <a:xfrm>
              <a:off x="0" y="0"/>
              <a:ext cx="17062704" cy="9400032"/>
            </a:xfrm>
            <a:prstGeom prst="roundRect">
              <a:avLst>
                <a:gd name="adj" fmla="val 9574"/>
              </a:avLst>
            </a:prstGeom>
            <a:noFill/>
            <a:ln w="339725">
              <a:solidFill>
                <a:srgbClr val="7F778A"/>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3" name="Isosceles Triangle 42">
              <a:extLst>
                <a:ext uri="{FF2B5EF4-FFF2-40B4-BE49-F238E27FC236}">
                  <a16:creationId xmlns:a16="http://schemas.microsoft.com/office/drawing/2014/main" id="{D18F5AB0-262F-A512-700D-101B0FA1B333}"/>
                </a:ext>
              </a:extLst>
            </xdr:cNvPr>
            <xdr:cNvSpPr/>
          </xdr:nvSpPr>
          <xdr:spPr>
            <a:xfrm rot="5400000">
              <a:off x="-19050" y="19050"/>
              <a:ext cx="495300" cy="457200"/>
            </a:xfrm>
            <a:prstGeom prst="triangle">
              <a:avLst>
                <a:gd name="adj" fmla="val 0"/>
              </a:avLst>
            </a:prstGeom>
            <a:solidFill>
              <a:srgbClr val="7F778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4" name="Isosceles Triangle 43">
              <a:extLst>
                <a:ext uri="{FF2B5EF4-FFF2-40B4-BE49-F238E27FC236}">
                  <a16:creationId xmlns:a16="http://schemas.microsoft.com/office/drawing/2014/main" id="{764D125F-A2B0-4050-BF20-0E08A5DDEF22}"/>
                </a:ext>
              </a:extLst>
            </xdr:cNvPr>
            <xdr:cNvSpPr/>
          </xdr:nvSpPr>
          <xdr:spPr>
            <a:xfrm>
              <a:off x="0" y="8972550"/>
              <a:ext cx="819150" cy="600075"/>
            </a:xfrm>
            <a:prstGeom prst="triangle">
              <a:avLst>
                <a:gd name="adj" fmla="val 0"/>
              </a:avLst>
            </a:prstGeom>
            <a:solidFill>
              <a:srgbClr val="7F778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5" name="Isosceles Triangle 44">
              <a:extLst>
                <a:ext uri="{FF2B5EF4-FFF2-40B4-BE49-F238E27FC236}">
                  <a16:creationId xmlns:a16="http://schemas.microsoft.com/office/drawing/2014/main" id="{EEE836B5-AF46-4F13-BF9B-D4BA05DFAD13}"/>
                </a:ext>
              </a:extLst>
            </xdr:cNvPr>
            <xdr:cNvSpPr/>
          </xdr:nvSpPr>
          <xdr:spPr>
            <a:xfrm flipH="1">
              <a:off x="16229240" y="8486775"/>
              <a:ext cx="1057275" cy="1085850"/>
            </a:xfrm>
            <a:prstGeom prst="triangle">
              <a:avLst>
                <a:gd name="adj" fmla="val 0"/>
              </a:avLst>
            </a:prstGeom>
            <a:solidFill>
              <a:srgbClr val="7F778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6" name="Rectangle 45">
              <a:extLst>
                <a:ext uri="{FF2B5EF4-FFF2-40B4-BE49-F238E27FC236}">
                  <a16:creationId xmlns:a16="http://schemas.microsoft.com/office/drawing/2014/main" id="{940FA74E-6095-8501-58B6-52A4A475026D}"/>
                </a:ext>
              </a:extLst>
            </xdr:cNvPr>
            <xdr:cNvSpPr/>
          </xdr:nvSpPr>
          <xdr:spPr>
            <a:xfrm>
              <a:off x="14363699" y="762000"/>
              <a:ext cx="1914525" cy="768096"/>
            </a:xfrm>
            <a:prstGeom prst="rect">
              <a:avLst/>
            </a:prstGeom>
            <a:solidFill>
              <a:srgbClr val="CF732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49" name="Partial Circle 48">
              <a:extLst>
                <a:ext uri="{FF2B5EF4-FFF2-40B4-BE49-F238E27FC236}">
                  <a16:creationId xmlns:a16="http://schemas.microsoft.com/office/drawing/2014/main" id="{AFB73580-5C4E-4CB4-8671-E9D3A7081949}"/>
                </a:ext>
              </a:extLst>
            </xdr:cNvPr>
            <xdr:cNvSpPr/>
          </xdr:nvSpPr>
          <xdr:spPr>
            <a:xfrm rot="10800000">
              <a:off x="13573124" y="762000"/>
              <a:ext cx="1571626" cy="762000"/>
            </a:xfrm>
            <a:prstGeom prst="pie">
              <a:avLst>
                <a:gd name="adj1" fmla="val 5374670"/>
                <a:gd name="adj2" fmla="val 16200000"/>
              </a:avLst>
            </a:prstGeom>
            <a:solidFill>
              <a:srgbClr val="003C4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solidFill>
                  <a:schemeClr val="tx1"/>
                </a:solidFill>
              </a:endParaRPr>
            </a:p>
          </xdr:txBody>
        </xdr:sp>
        <xdr:sp macro="" textlink="">
          <xdr:nvSpPr>
            <xdr:cNvPr id="52" name="Isosceles Triangle 51">
              <a:extLst>
                <a:ext uri="{FF2B5EF4-FFF2-40B4-BE49-F238E27FC236}">
                  <a16:creationId xmlns:a16="http://schemas.microsoft.com/office/drawing/2014/main" id="{D0007A4F-696F-B264-BF71-283CAD831DAC}"/>
                </a:ext>
              </a:extLst>
            </xdr:cNvPr>
            <xdr:cNvSpPr/>
          </xdr:nvSpPr>
          <xdr:spPr>
            <a:xfrm rot="10800000">
              <a:off x="16735425" y="0"/>
              <a:ext cx="495300" cy="876300"/>
            </a:xfrm>
            <a:prstGeom prst="triangle">
              <a:avLst>
                <a:gd name="adj" fmla="val 0"/>
              </a:avLst>
            </a:prstGeom>
            <a:solidFill>
              <a:srgbClr val="7F778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grpSp>
      <xdr:pic>
        <xdr:nvPicPr>
          <xdr:cNvPr id="56" name="Picture 55">
            <a:extLst>
              <a:ext uri="{FF2B5EF4-FFF2-40B4-BE49-F238E27FC236}">
                <a16:creationId xmlns:a16="http://schemas.microsoft.com/office/drawing/2014/main" id="{1F10F0E6-34B6-E194-2EDD-AE94B786CAF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970" t="35200" b="33600"/>
          <a:stretch/>
        </xdr:blipFill>
        <xdr:spPr>
          <a:xfrm>
            <a:off x="16979838" y="176474"/>
            <a:ext cx="3988356" cy="594436"/>
          </a:xfrm>
          <a:prstGeom prst="rect">
            <a:avLst/>
          </a:prstGeom>
        </xdr:spPr>
      </xdr:pic>
      <xdr:sp macro="" textlink="">
        <xdr:nvSpPr>
          <xdr:cNvPr id="57" name="TextBox 56">
            <a:extLst>
              <a:ext uri="{FF2B5EF4-FFF2-40B4-BE49-F238E27FC236}">
                <a16:creationId xmlns:a16="http://schemas.microsoft.com/office/drawing/2014/main" id="{3095FD12-2D75-A3B3-1CDB-CC4A1243905C}"/>
              </a:ext>
            </a:extLst>
          </xdr:cNvPr>
          <xdr:cNvSpPr txBox="1"/>
        </xdr:nvSpPr>
        <xdr:spPr>
          <a:xfrm>
            <a:off x="12604744" y="854502"/>
            <a:ext cx="3002264" cy="334370"/>
          </a:xfrm>
          <a:prstGeom prst="rect">
            <a:avLst/>
          </a:prstGeom>
          <a:noFill/>
          <a:ln w="9525" cmpd="sng">
            <a:noFill/>
          </a:ln>
          <a:effectLst>
            <a:outerShdw blurRad="50800" dist="50800" dir="5400000" algn="ctr" rotWithShape="0">
              <a:schemeClr val="tx1"/>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D" sz="1800">
                <a:solidFill>
                  <a:schemeClr val="bg1"/>
                </a:solidFill>
                <a:latin typeface="Abadi" panose="020B0604020104020204" pitchFamily="34" charset="0"/>
              </a:rPr>
              <a:t>Aditia</a:t>
            </a:r>
            <a:r>
              <a:rPr lang="en-ID" sz="1800" baseline="0">
                <a:solidFill>
                  <a:schemeClr val="bg1"/>
                </a:solidFill>
                <a:latin typeface="Abadi" panose="020B0604020104020204" pitchFamily="34" charset="0"/>
              </a:rPr>
              <a:t> Pramana</a:t>
            </a:r>
            <a:endParaRPr lang="en-ID" sz="1800">
              <a:solidFill>
                <a:schemeClr val="bg1"/>
              </a:solidFill>
              <a:latin typeface="Abadi" panose="020B0604020104020204" pitchFamily="34" charset="0"/>
            </a:endParaRPr>
          </a:p>
        </xdr:txBody>
      </xdr:sp>
      <xdr:sp macro="" textlink="">
        <xdr:nvSpPr>
          <xdr:cNvPr id="58" name="TextBox 57">
            <a:extLst>
              <a:ext uri="{FF2B5EF4-FFF2-40B4-BE49-F238E27FC236}">
                <a16:creationId xmlns:a16="http://schemas.microsoft.com/office/drawing/2014/main" id="{72685159-21B5-F207-2763-599CBB416A13}"/>
              </a:ext>
            </a:extLst>
          </xdr:cNvPr>
          <xdr:cNvSpPr txBox="1"/>
        </xdr:nvSpPr>
        <xdr:spPr>
          <a:xfrm>
            <a:off x="12604744" y="1068128"/>
            <a:ext cx="3002264" cy="334370"/>
          </a:xfrm>
          <a:prstGeom prst="rect">
            <a:avLst/>
          </a:prstGeom>
          <a:noFill/>
          <a:ln w="9525" cmpd="sng">
            <a:noFill/>
          </a:ln>
          <a:effectLst>
            <a:outerShdw blurRad="50800" dist="50800" dir="5400000" algn="ctr" rotWithShape="0">
              <a:schemeClr val="tx1"/>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D" sz="1400">
                <a:solidFill>
                  <a:schemeClr val="bg1"/>
                </a:solidFill>
                <a:latin typeface="Abadi" panose="020B0604020104020204" pitchFamily="34" charset="0"/>
              </a:rPr>
              <a:t>Senior Financial</a:t>
            </a:r>
            <a:r>
              <a:rPr lang="en-ID" sz="1400" baseline="0">
                <a:solidFill>
                  <a:schemeClr val="bg1"/>
                </a:solidFill>
                <a:latin typeface="Abadi" panose="020B0604020104020204" pitchFamily="34" charset="0"/>
              </a:rPr>
              <a:t> Analyst</a:t>
            </a:r>
            <a:endParaRPr lang="en-ID" sz="1400">
              <a:solidFill>
                <a:schemeClr val="bg1"/>
              </a:solidFill>
              <a:latin typeface="Abadi" panose="020B0604020104020204" pitchFamily="34" charset="0"/>
            </a:endParaRPr>
          </a:p>
        </xdr:txBody>
      </xdr:sp>
      <xdr:pic>
        <xdr:nvPicPr>
          <xdr:cNvPr id="60" name="Picture 59">
            <a:extLst>
              <a:ext uri="{FF2B5EF4-FFF2-40B4-BE49-F238E27FC236}">
                <a16:creationId xmlns:a16="http://schemas.microsoft.com/office/drawing/2014/main" id="{0B46AFAF-342D-8AB0-01A1-6E659878EB1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7830" t="43393" r="27467" b="35428"/>
          <a:stretch/>
        </xdr:blipFill>
        <xdr:spPr>
          <a:xfrm>
            <a:off x="11389542" y="651704"/>
            <a:ext cx="702911" cy="834387"/>
          </a:xfrm>
          <a:prstGeom prst="rect">
            <a:avLst/>
          </a:prstGeom>
          <a:effectLst>
            <a:outerShdw blurRad="50800" dist="38100" algn="l" rotWithShape="0">
              <a:prstClr val="black">
                <a:alpha val="40000"/>
              </a:prstClr>
            </a:outerShdw>
          </a:effectLst>
        </xdr:spPr>
      </xdr:pic>
    </xdr:grpSp>
    <xdr:clientData/>
  </xdr:twoCellAnchor>
  <xdr:twoCellAnchor editAs="absolute">
    <xdr:from>
      <xdr:col>3</xdr:col>
      <xdr:colOff>4830</xdr:colOff>
      <xdr:row>3</xdr:row>
      <xdr:rowOff>0</xdr:rowOff>
    </xdr:from>
    <xdr:to>
      <xdr:col>8</xdr:col>
      <xdr:colOff>168121</xdr:colOff>
      <xdr:row>34</xdr:row>
      <xdr:rowOff>127000</xdr:rowOff>
    </xdr:to>
    <xdr:sp macro="" textlink="">
      <xdr:nvSpPr>
        <xdr:cNvPr id="54" name="Rectangle: Rounded Corners 53">
          <a:extLst>
            <a:ext uri="{FF2B5EF4-FFF2-40B4-BE49-F238E27FC236}">
              <a16:creationId xmlns:a16="http://schemas.microsoft.com/office/drawing/2014/main" id="{0AECF446-7E23-8D92-632D-EA5BC32FA571}"/>
            </a:ext>
          </a:extLst>
        </xdr:cNvPr>
        <xdr:cNvSpPr/>
      </xdr:nvSpPr>
      <xdr:spPr>
        <a:xfrm>
          <a:off x="1370080" y="762000"/>
          <a:ext cx="3179541" cy="8001000"/>
        </a:xfrm>
        <a:prstGeom prst="roundRect">
          <a:avLst>
            <a:gd name="adj" fmla="val 10297"/>
          </a:avLst>
        </a:prstGeom>
        <a:gradFill flip="none" rotWithShape="1">
          <a:gsLst>
            <a:gs pos="0">
              <a:schemeClr val="accent1">
                <a:lumMod val="60000"/>
                <a:lumOff val="40000"/>
              </a:schemeClr>
            </a:gs>
            <a:gs pos="57000">
              <a:schemeClr val="accent1"/>
            </a:gs>
          </a:gsLst>
          <a:path path="circle">
            <a:fillToRect t="100000" r="100000"/>
          </a:path>
          <a:tileRect l="-100000" b="-100000"/>
        </a:gra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9</xdr:col>
      <xdr:colOff>571500</xdr:colOff>
      <xdr:row>8</xdr:row>
      <xdr:rowOff>76200</xdr:rowOff>
    </xdr:from>
    <xdr:to>
      <xdr:col>16</xdr:col>
      <xdr:colOff>406400</xdr:colOff>
      <xdr:row>16</xdr:row>
      <xdr:rowOff>101600</xdr:rowOff>
    </xdr:to>
    <xdr:sp macro="" textlink="">
      <xdr:nvSpPr>
        <xdr:cNvPr id="62" name="Rectangle: Rounded Corners 61">
          <a:extLst>
            <a:ext uri="{FF2B5EF4-FFF2-40B4-BE49-F238E27FC236}">
              <a16:creationId xmlns:a16="http://schemas.microsoft.com/office/drawing/2014/main" id="{86FA500B-59A2-F4B6-6BC5-A1DF4930D805}"/>
            </a:ext>
          </a:extLst>
        </xdr:cNvPr>
        <xdr:cNvSpPr/>
      </xdr:nvSpPr>
      <xdr:spPr>
        <a:xfrm>
          <a:off x="5556250" y="2108200"/>
          <a:ext cx="4057650" cy="2057400"/>
        </a:xfrm>
        <a:prstGeom prst="roundRect">
          <a:avLst/>
        </a:prstGeom>
        <a:gradFill>
          <a:gsLst>
            <a:gs pos="0">
              <a:schemeClr val="accent1">
                <a:lumMod val="5000"/>
                <a:lumOff val="95000"/>
              </a:schemeClr>
            </a:gs>
            <a:gs pos="59000">
              <a:srgbClr val="F5DFDD"/>
            </a:gs>
          </a:gsLst>
          <a:lin ang="5400000" scaled="1"/>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10</xdr:col>
      <xdr:colOff>304800</xdr:colOff>
      <xdr:row>9</xdr:row>
      <xdr:rowOff>114300</xdr:rowOff>
    </xdr:from>
    <xdr:to>
      <xdr:col>14</xdr:col>
      <xdr:colOff>596900</xdr:colOff>
      <xdr:row>10</xdr:row>
      <xdr:rowOff>215900</xdr:rowOff>
    </xdr:to>
    <xdr:sp macro="" textlink="">
      <xdr:nvSpPr>
        <xdr:cNvPr id="63" name="TextBox 62">
          <a:extLst>
            <a:ext uri="{FF2B5EF4-FFF2-40B4-BE49-F238E27FC236}">
              <a16:creationId xmlns:a16="http://schemas.microsoft.com/office/drawing/2014/main" id="{D0870F3F-E1EF-5C81-DEC4-327D6D9BF315}"/>
            </a:ext>
          </a:extLst>
        </xdr:cNvPr>
        <xdr:cNvSpPr txBox="1"/>
      </xdr:nvSpPr>
      <xdr:spPr>
        <a:xfrm>
          <a:off x="5892800" y="2400300"/>
          <a:ext cx="27051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000">
              <a:solidFill>
                <a:sysClr val="windowText" lastClr="000000"/>
              </a:solidFill>
              <a:latin typeface="Avenir Next LT Pro" panose="020B0504020202020204" pitchFamily="34" charset="0"/>
            </a:rPr>
            <a:t>Available Balance</a:t>
          </a:r>
        </a:p>
      </xdr:txBody>
    </xdr:sp>
    <xdr:clientData/>
  </xdr:twoCellAnchor>
  <xdr:twoCellAnchor>
    <xdr:from>
      <xdr:col>11</xdr:col>
      <xdr:colOff>120650</xdr:colOff>
      <xdr:row>11</xdr:row>
      <xdr:rowOff>50800</xdr:rowOff>
    </xdr:from>
    <xdr:to>
      <xdr:col>15</xdr:col>
      <xdr:colOff>406400</xdr:colOff>
      <xdr:row>13</xdr:row>
      <xdr:rowOff>215900</xdr:rowOff>
    </xdr:to>
    <xdr:sp macro="" textlink="LPK!D13">
      <xdr:nvSpPr>
        <xdr:cNvPr id="64" name="TextBox 63">
          <a:extLst>
            <a:ext uri="{FF2B5EF4-FFF2-40B4-BE49-F238E27FC236}">
              <a16:creationId xmlns:a16="http://schemas.microsoft.com/office/drawing/2014/main" id="{14DF15DA-F250-B0E4-CA59-F51447D155C6}"/>
            </a:ext>
          </a:extLst>
        </xdr:cNvPr>
        <xdr:cNvSpPr txBox="1"/>
      </xdr:nvSpPr>
      <xdr:spPr>
        <a:xfrm>
          <a:off x="6311900" y="2844800"/>
          <a:ext cx="2698750" cy="673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FB1166-5206-436D-9153-2B818E34FE96}" type="TxLink">
            <a:rPr lang="en-US" sz="4000" b="0" i="0" u="none" strike="noStrike">
              <a:solidFill>
                <a:srgbClr val="000000"/>
              </a:solidFill>
              <a:latin typeface="Avenir Next LT Pro" panose="020B0504020202020204" pitchFamily="34" charset="0"/>
            </a:rPr>
            <a:pPr/>
            <a:t> 9.832.015 </a:t>
          </a:fld>
          <a:endParaRPr lang="en-ID" sz="6600">
            <a:solidFill>
              <a:sysClr val="windowText" lastClr="000000"/>
            </a:solidFill>
            <a:latin typeface="Avenir Next LT Pro" panose="020B0504020202020204" pitchFamily="34" charset="0"/>
          </a:endParaRPr>
        </a:p>
      </xdr:txBody>
    </xdr:sp>
    <xdr:clientData/>
  </xdr:twoCellAnchor>
  <xdr:twoCellAnchor editAs="oneCell">
    <xdr:from>
      <xdr:col>10</xdr:col>
      <xdr:colOff>136525</xdr:colOff>
      <xdr:row>10</xdr:row>
      <xdr:rowOff>209550</xdr:rowOff>
    </xdr:from>
    <xdr:to>
      <xdr:col>11</xdr:col>
      <xdr:colOff>434975</xdr:colOff>
      <xdr:row>14</xdr:row>
      <xdr:rowOff>107950</xdr:rowOff>
    </xdr:to>
    <xdr:pic>
      <xdr:nvPicPr>
        <xdr:cNvPr id="66" name="Graphic 65" descr="Dollar with solid fill">
          <a:extLst>
            <a:ext uri="{FF2B5EF4-FFF2-40B4-BE49-F238E27FC236}">
              <a16:creationId xmlns:a16="http://schemas.microsoft.com/office/drawing/2014/main" id="{A5B76177-828A-5443-E676-F272334DF88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724525" y="2749550"/>
          <a:ext cx="901700" cy="914400"/>
        </a:xfrm>
        <a:prstGeom prst="rect">
          <a:avLst/>
        </a:prstGeom>
      </xdr:spPr>
    </xdr:pic>
    <xdr:clientData/>
  </xdr:twoCellAnchor>
  <xdr:twoCellAnchor>
    <xdr:from>
      <xdr:col>3</xdr:col>
      <xdr:colOff>44450</xdr:colOff>
      <xdr:row>32</xdr:row>
      <xdr:rowOff>0</xdr:rowOff>
    </xdr:from>
    <xdr:to>
      <xdr:col>8</xdr:col>
      <xdr:colOff>95250</xdr:colOff>
      <xdr:row>33</xdr:row>
      <xdr:rowOff>190500</xdr:rowOff>
    </xdr:to>
    <xdr:sp macro="" textlink="">
      <xdr:nvSpPr>
        <xdr:cNvPr id="67" name="TextBox 66">
          <a:extLst>
            <a:ext uri="{FF2B5EF4-FFF2-40B4-BE49-F238E27FC236}">
              <a16:creationId xmlns:a16="http://schemas.microsoft.com/office/drawing/2014/main" id="{7C721FF1-5A0A-038F-E4F1-6BA28CDB1978}"/>
            </a:ext>
          </a:extLst>
        </xdr:cNvPr>
        <xdr:cNvSpPr txBox="1"/>
      </xdr:nvSpPr>
      <xdr:spPr>
        <a:xfrm>
          <a:off x="1409700" y="8128000"/>
          <a:ext cx="306705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000" b="1">
              <a:solidFill>
                <a:schemeClr val="bg1"/>
              </a:solidFill>
              <a:latin typeface="Avenir Next LT Pro" panose="020B0504020202020204" pitchFamily="34" charset="0"/>
            </a:rPr>
            <a:t>www.urbanestitch.com</a:t>
          </a:r>
        </a:p>
      </xdr:txBody>
    </xdr:sp>
    <xdr:clientData/>
  </xdr:twoCellAnchor>
  <xdr:twoCellAnchor>
    <xdr:from>
      <xdr:col>3</xdr:col>
      <xdr:colOff>501650</xdr:colOff>
      <xdr:row>6</xdr:row>
      <xdr:rowOff>247650</xdr:rowOff>
    </xdr:from>
    <xdr:to>
      <xdr:col>7</xdr:col>
      <xdr:colOff>234950</xdr:colOff>
      <xdr:row>11</xdr:row>
      <xdr:rowOff>184150</xdr:rowOff>
    </xdr:to>
    <xdr:grpSp>
      <xdr:nvGrpSpPr>
        <xdr:cNvPr id="11" name="Group 10">
          <a:extLst>
            <a:ext uri="{FF2B5EF4-FFF2-40B4-BE49-F238E27FC236}">
              <a16:creationId xmlns:a16="http://schemas.microsoft.com/office/drawing/2014/main" id="{018579C6-1C06-A92F-56AB-9C32928EDA73}"/>
            </a:ext>
          </a:extLst>
        </xdr:cNvPr>
        <xdr:cNvGrpSpPr/>
      </xdr:nvGrpSpPr>
      <xdr:grpSpPr>
        <a:xfrm>
          <a:off x="1866900" y="1771650"/>
          <a:ext cx="2146300" cy="1206500"/>
          <a:chOff x="838200" y="2946400"/>
          <a:chExt cx="2171700" cy="1206500"/>
        </a:xfrm>
      </xdr:grpSpPr>
      <xdr:sp macro="" textlink="">
        <xdr:nvSpPr>
          <xdr:cNvPr id="70" name="Rectangle: Rounded Corners 69">
            <a:extLst>
              <a:ext uri="{FF2B5EF4-FFF2-40B4-BE49-F238E27FC236}">
                <a16:creationId xmlns:a16="http://schemas.microsoft.com/office/drawing/2014/main" id="{B2A17020-ABFE-FE3E-5B93-372E6097DAD0}"/>
              </a:ext>
            </a:extLst>
          </xdr:cNvPr>
          <xdr:cNvSpPr/>
        </xdr:nvSpPr>
        <xdr:spPr>
          <a:xfrm>
            <a:off x="838200" y="2946400"/>
            <a:ext cx="2171700" cy="1206500"/>
          </a:xfrm>
          <a:prstGeom prst="roundRect">
            <a:avLst/>
          </a:prstGeom>
          <a:gradFill flip="none" rotWithShape="1">
            <a:gsLst>
              <a:gs pos="0">
                <a:srgbClr val="09C9C8">
                  <a:shade val="30000"/>
                  <a:satMod val="115000"/>
                </a:srgbClr>
              </a:gs>
              <a:gs pos="50000">
                <a:srgbClr val="09C9C8">
                  <a:shade val="67500"/>
                  <a:satMod val="115000"/>
                </a:srgbClr>
              </a:gs>
              <a:gs pos="100000">
                <a:srgbClr val="09C9C8">
                  <a:shade val="100000"/>
                  <a:satMod val="115000"/>
                </a:srgbClr>
              </a:gs>
            </a:gsLst>
            <a:lin ang="2700000" scaled="1"/>
            <a:tileRect/>
          </a:gra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LR!C36">
        <xdr:nvSpPr>
          <xdr:cNvPr id="68" name="TextBox 67">
            <a:extLst>
              <a:ext uri="{FF2B5EF4-FFF2-40B4-BE49-F238E27FC236}">
                <a16:creationId xmlns:a16="http://schemas.microsoft.com/office/drawing/2014/main" id="{03802804-C6A1-32D0-8FF7-FA2643FF8BDD}"/>
              </a:ext>
            </a:extLst>
          </xdr:cNvPr>
          <xdr:cNvSpPr txBox="1"/>
        </xdr:nvSpPr>
        <xdr:spPr>
          <a:xfrm>
            <a:off x="1041400" y="3276600"/>
            <a:ext cx="1701800" cy="673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83C82E-CDF9-4FA8-9DEC-9F09DD47173B}" type="TxLink">
              <a:rPr lang="en-US" sz="2800" b="1" i="0" u="none" strike="noStrike">
                <a:solidFill>
                  <a:schemeClr val="bg1"/>
                </a:solidFill>
                <a:latin typeface="Aptos Narrow"/>
              </a:rPr>
              <a:pPr/>
              <a:t> 25.044.861 </a:t>
            </a:fld>
            <a:endParaRPr lang="en-ID" sz="8800">
              <a:solidFill>
                <a:schemeClr val="bg1"/>
              </a:solidFill>
              <a:latin typeface="Avenir Next LT Pro" panose="020B0504020202020204" pitchFamily="34" charset="0"/>
            </a:endParaRPr>
          </a:p>
        </xdr:txBody>
      </xdr:sp>
      <xdr:sp macro="" textlink="">
        <xdr:nvSpPr>
          <xdr:cNvPr id="71" name="TextBox 70">
            <a:extLst>
              <a:ext uri="{FF2B5EF4-FFF2-40B4-BE49-F238E27FC236}">
                <a16:creationId xmlns:a16="http://schemas.microsoft.com/office/drawing/2014/main" id="{F8292924-95E9-3955-7B75-A281A55522FE}"/>
              </a:ext>
            </a:extLst>
          </xdr:cNvPr>
          <xdr:cNvSpPr txBox="1"/>
        </xdr:nvSpPr>
        <xdr:spPr>
          <a:xfrm>
            <a:off x="863600" y="2959100"/>
            <a:ext cx="10541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000" b="1">
                <a:solidFill>
                  <a:schemeClr val="bg1">
                    <a:lumMod val="75000"/>
                  </a:schemeClr>
                </a:solidFill>
                <a:latin typeface="Avenir Next LT Pro" panose="020B0504020202020204" pitchFamily="34" charset="0"/>
              </a:rPr>
              <a:t>Profit</a:t>
            </a:r>
          </a:p>
          <a:p>
            <a:endParaRPr lang="en-ID" sz="2000" b="1">
              <a:solidFill>
                <a:schemeClr val="bg1">
                  <a:lumMod val="75000"/>
                </a:schemeClr>
              </a:solidFill>
              <a:latin typeface="Avenir Next LT Pro" panose="020B0504020202020204" pitchFamily="34" charset="0"/>
            </a:endParaRPr>
          </a:p>
        </xdr:txBody>
      </xdr:sp>
      <xdr:pic>
        <xdr:nvPicPr>
          <xdr:cNvPr id="73" name="Graphic 72" descr="Money outline">
            <a:extLst>
              <a:ext uri="{FF2B5EF4-FFF2-40B4-BE49-F238E27FC236}">
                <a16:creationId xmlns:a16="http://schemas.microsoft.com/office/drawing/2014/main" id="{F4FE32F7-78CD-F276-765F-8E7986AC5DB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197100" y="3505200"/>
            <a:ext cx="635000" cy="635000"/>
          </a:xfrm>
          <a:prstGeom prst="rect">
            <a:avLst/>
          </a:prstGeom>
        </xdr:spPr>
      </xdr:pic>
    </xdr:grpSp>
    <xdr:clientData/>
  </xdr:twoCellAnchor>
  <xdr:twoCellAnchor>
    <xdr:from>
      <xdr:col>9</xdr:col>
      <xdr:colOff>590550</xdr:colOff>
      <xdr:row>17</xdr:row>
      <xdr:rowOff>241300</xdr:rowOff>
    </xdr:from>
    <xdr:to>
      <xdr:col>14</xdr:col>
      <xdr:colOff>273050</xdr:colOff>
      <xdr:row>19</xdr:row>
      <xdr:rowOff>88900</xdr:rowOff>
    </xdr:to>
    <xdr:sp macro="" textlink="">
      <xdr:nvSpPr>
        <xdr:cNvPr id="74" name="TextBox 73">
          <a:extLst>
            <a:ext uri="{FF2B5EF4-FFF2-40B4-BE49-F238E27FC236}">
              <a16:creationId xmlns:a16="http://schemas.microsoft.com/office/drawing/2014/main" id="{774E9135-1C07-43F3-44A5-F100BEB1930B}"/>
            </a:ext>
          </a:extLst>
        </xdr:cNvPr>
        <xdr:cNvSpPr txBox="1"/>
      </xdr:nvSpPr>
      <xdr:spPr>
        <a:xfrm>
          <a:off x="5575300" y="4559300"/>
          <a:ext cx="269875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000" b="1">
              <a:solidFill>
                <a:sysClr val="windowText" lastClr="000000"/>
              </a:solidFill>
              <a:latin typeface="Avenir Next LT Pro" panose="020B0504020202020204" pitchFamily="34" charset="0"/>
            </a:rPr>
            <a:t>INCOME</a:t>
          </a:r>
          <a:r>
            <a:rPr lang="en-ID" sz="2000" b="1" baseline="0">
              <a:solidFill>
                <a:sysClr val="windowText" lastClr="000000"/>
              </a:solidFill>
              <a:latin typeface="Avenir Next LT Pro" panose="020B0504020202020204" pitchFamily="34" charset="0"/>
            </a:rPr>
            <a:t> GOAL</a:t>
          </a:r>
          <a:endParaRPr lang="en-ID" sz="2000" b="1">
            <a:solidFill>
              <a:sysClr val="windowText" lastClr="000000"/>
            </a:solidFill>
            <a:latin typeface="Avenir Next LT Pro" panose="020B0504020202020204" pitchFamily="34" charset="0"/>
          </a:endParaRPr>
        </a:p>
      </xdr:txBody>
    </xdr:sp>
    <xdr:clientData/>
  </xdr:twoCellAnchor>
  <xdr:twoCellAnchor>
    <xdr:from>
      <xdr:col>8</xdr:col>
      <xdr:colOff>260350</xdr:colOff>
      <xdr:row>19</xdr:row>
      <xdr:rowOff>177800</xdr:rowOff>
    </xdr:from>
    <xdr:to>
      <xdr:col>15</xdr:col>
      <xdr:colOff>565150</xdr:colOff>
      <xdr:row>30</xdr:row>
      <xdr:rowOff>127000</xdr:rowOff>
    </xdr:to>
    <xdr:grpSp>
      <xdr:nvGrpSpPr>
        <xdr:cNvPr id="80" name="Group 79">
          <a:extLst>
            <a:ext uri="{FF2B5EF4-FFF2-40B4-BE49-F238E27FC236}">
              <a16:creationId xmlns:a16="http://schemas.microsoft.com/office/drawing/2014/main" id="{BC12C582-A761-D4CC-287F-3EFB801FD8AB}"/>
            </a:ext>
          </a:extLst>
        </xdr:cNvPr>
        <xdr:cNvGrpSpPr/>
      </xdr:nvGrpSpPr>
      <xdr:grpSpPr>
        <a:xfrm>
          <a:off x="4641850" y="5003800"/>
          <a:ext cx="4527550" cy="2743200"/>
          <a:chOff x="5137039" y="5003800"/>
          <a:chExt cx="4572000" cy="2743200"/>
        </a:xfrm>
      </xdr:grpSpPr>
      <xdr:graphicFrame macro="">
        <xdr:nvGraphicFramePr>
          <xdr:cNvPr id="75" name="Chart 74">
            <a:extLst>
              <a:ext uri="{FF2B5EF4-FFF2-40B4-BE49-F238E27FC236}">
                <a16:creationId xmlns:a16="http://schemas.microsoft.com/office/drawing/2014/main" id="{C6936714-FAE8-4A11-900B-94010C60DEB5}"/>
              </a:ext>
            </a:extLst>
          </xdr:cNvPr>
          <xdr:cNvGraphicFramePr>
            <a:graphicFrameLocks/>
          </xdr:cNvGraphicFramePr>
        </xdr:nvGraphicFramePr>
        <xdr:xfrm>
          <a:off x="5137039" y="5003800"/>
          <a:ext cx="4572000" cy="2743200"/>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78" name="Group 77">
            <a:extLst>
              <a:ext uri="{FF2B5EF4-FFF2-40B4-BE49-F238E27FC236}">
                <a16:creationId xmlns:a16="http://schemas.microsoft.com/office/drawing/2014/main" id="{DD9FD16B-B867-9383-1939-7188F771CD65}"/>
              </a:ext>
            </a:extLst>
          </xdr:cNvPr>
          <xdr:cNvGrpSpPr/>
        </xdr:nvGrpSpPr>
        <xdr:grpSpPr>
          <a:xfrm>
            <a:off x="6565790" y="5829300"/>
            <a:ext cx="1787040" cy="917574"/>
            <a:chOff x="6521340" y="5702300"/>
            <a:chExt cx="1787040" cy="917574"/>
          </a:xfrm>
        </xdr:grpSpPr>
        <xdr:sp macro="" textlink="#REF!">
          <xdr:nvSpPr>
            <xdr:cNvPr id="76" name="TextBox 75">
              <a:extLst>
                <a:ext uri="{FF2B5EF4-FFF2-40B4-BE49-F238E27FC236}">
                  <a16:creationId xmlns:a16="http://schemas.microsoft.com/office/drawing/2014/main" id="{60BDD2C4-EFA7-0973-1A52-9EE93D9868BD}"/>
                </a:ext>
              </a:extLst>
            </xdr:cNvPr>
            <xdr:cNvSpPr txBox="1"/>
          </xdr:nvSpPr>
          <xdr:spPr>
            <a:xfrm>
              <a:off x="6756284" y="5702300"/>
              <a:ext cx="12446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3670C0-A048-4317-892B-CEA767A70E94}" type="TxLink">
                <a:rPr lang="en-US" sz="4000" b="0" i="0" u="none" strike="noStrike">
                  <a:solidFill>
                    <a:srgbClr val="003C4F"/>
                  </a:solidFill>
                  <a:latin typeface="Avenir Next LT Pro" panose="020B0504020202020204" pitchFamily="34" charset="0"/>
                </a:rPr>
                <a:pPr/>
                <a:t>445%</a:t>
              </a:fld>
              <a:endParaRPr lang="en-ID" sz="6600" b="1">
                <a:solidFill>
                  <a:srgbClr val="003C4F"/>
                </a:solidFill>
                <a:latin typeface="Avenir Next LT Pro" panose="020B0504020202020204" pitchFamily="34" charset="0"/>
              </a:endParaRPr>
            </a:p>
          </xdr:txBody>
        </xdr:sp>
        <xdr:sp macro="" textlink="">
          <xdr:nvSpPr>
            <xdr:cNvPr id="77" name="TextBox 76">
              <a:extLst>
                <a:ext uri="{FF2B5EF4-FFF2-40B4-BE49-F238E27FC236}">
                  <a16:creationId xmlns:a16="http://schemas.microsoft.com/office/drawing/2014/main" id="{B14D2EC8-178B-87C2-4B37-C786D8DAF25A}"/>
                </a:ext>
              </a:extLst>
            </xdr:cNvPr>
            <xdr:cNvSpPr txBox="1"/>
          </xdr:nvSpPr>
          <xdr:spPr>
            <a:xfrm>
              <a:off x="6521340" y="6172199"/>
              <a:ext cx="178704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b="0">
                  <a:solidFill>
                    <a:srgbClr val="003C4F"/>
                  </a:solidFill>
                  <a:latin typeface="Avenir Next LT Pro" panose="020B0504020202020204" pitchFamily="34" charset="0"/>
                </a:rPr>
                <a:t>Target Achieved</a:t>
              </a:r>
            </a:p>
          </xdr:txBody>
        </xdr:sp>
      </xdr:grpSp>
    </xdr:grpSp>
    <xdr:clientData/>
  </xdr:twoCellAnchor>
  <xdr:twoCellAnchor>
    <xdr:from>
      <xdr:col>14</xdr:col>
      <xdr:colOff>212725</xdr:colOff>
      <xdr:row>14</xdr:row>
      <xdr:rowOff>127000</xdr:rowOff>
    </xdr:from>
    <xdr:to>
      <xdr:col>15</xdr:col>
      <xdr:colOff>377825</xdr:colOff>
      <xdr:row>15</xdr:row>
      <xdr:rowOff>228600</xdr:rowOff>
    </xdr:to>
    <xdr:sp macro="" textlink="">
      <xdr:nvSpPr>
        <xdr:cNvPr id="81" name="TextBox 80">
          <a:extLst>
            <a:ext uri="{FF2B5EF4-FFF2-40B4-BE49-F238E27FC236}">
              <a16:creationId xmlns:a16="http://schemas.microsoft.com/office/drawing/2014/main" id="{E8F03041-368F-6533-6D37-6BC543751749}"/>
            </a:ext>
          </a:extLst>
        </xdr:cNvPr>
        <xdr:cNvSpPr txBox="1"/>
      </xdr:nvSpPr>
      <xdr:spPr>
        <a:xfrm>
          <a:off x="8213725" y="3683000"/>
          <a:ext cx="76835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000">
              <a:solidFill>
                <a:sysClr val="windowText" lastClr="000000"/>
              </a:solidFill>
              <a:latin typeface="Avenir Next LT Pro" panose="020B0504020202020204" pitchFamily="34" charset="0"/>
            </a:rPr>
            <a:t>Cash</a:t>
          </a:r>
        </a:p>
      </xdr:txBody>
    </xdr:sp>
    <xdr:clientData/>
  </xdr:twoCellAnchor>
  <xdr:twoCellAnchor>
    <xdr:from>
      <xdr:col>4</xdr:col>
      <xdr:colOff>231775</xdr:colOff>
      <xdr:row>14</xdr:row>
      <xdr:rowOff>107950</xdr:rowOff>
    </xdr:from>
    <xdr:to>
      <xdr:col>8</xdr:col>
      <xdr:colOff>3175</xdr:colOff>
      <xdr:row>15</xdr:row>
      <xdr:rowOff>209550</xdr:rowOff>
    </xdr:to>
    <xdr:sp macro="" textlink="">
      <xdr:nvSpPr>
        <xdr:cNvPr id="23" name="TextBox 22">
          <a:hlinkClick xmlns:r="http://schemas.openxmlformats.org/officeDocument/2006/relationships" r:id="rId8"/>
          <a:extLst>
            <a:ext uri="{FF2B5EF4-FFF2-40B4-BE49-F238E27FC236}">
              <a16:creationId xmlns:a16="http://schemas.microsoft.com/office/drawing/2014/main" id="{F69B1D3A-6C01-8BC2-CCFC-3556F9C7F854}"/>
            </a:ext>
          </a:extLst>
        </xdr:cNvPr>
        <xdr:cNvSpPr txBox="1"/>
      </xdr:nvSpPr>
      <xdr:spPr>
        <a:xfrm>
          <a:off x="2200275" y="3663950"/>
          <a:ext cx="21844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000" b="1">
              <a:solidFill>
                <a:schemeClr val="bg1"/>
              </a:solidFill>
              <a:latin typeface="Avenir Next LT Pro" panose="020B0504020202020204" pitchFamily="34" charset="0"/>
            </a:rPr>
            <a:t>Dashboard</a:t>
          </a:r>
        </a:p>
      </xdr:txBody>
    </xdr:sp>
    <xdr:clientData/>
  </xdr:twoCellAnchor>
  <xdr:twoCellAnchor>
    <xdr:from>
      <xdr:col>3</xdr:col>
      <xdr:colOff>349250</xdr:colOff>
      <xdr:row>14</xdr:row>
      <xdr:rowOff>47625</xdr:rowOff>
    </xdr:from>
    <xdr:to>
      <xdr:col>4</xdr:col>
      <xdr:colOff>247650</xdr:colOff>
      <xdr:row>16</xdr:row>
      <xdr:rowOff>41275</xdr:rowOff>
    </xdr:to>
    <xdr:pic>
      <xdr:nvPicPr>
        <xdr:cNvPr id="32" name="Graphic 31" descr="Bank with solid fill">
          <a:hlinkClick xmlns:r="http://schemas.openxmlformats.org/officeDocument/2006/relationships" r:id="rId8"/>
          <a:extLst>
            <a:ext uri="{FF2B5EF4-FFF2-40B4-BE49-F238E27FC236}">
              <a16:creationId xmlns:a16="http://schemas.microsoft.com/office/drawing/2014/main" id="{9B47FD97-7477-37E8-27B2-AC011709DD4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714500" y="3603625"/>
          <a:ext cx="501650" cy="501650"/>
        </a:xfrm>
        <a:prstGeom prst="rect">
          <a:avLst/>
        </a:prstGeom>
      </xdr:spPr>
    </xdr:pic>
    <xdr:clientData/>
  </xdr:twoCellAnchor>
  <xdr:twoCellAnchor editAs="oneCell">
    <xdr:from>
      <xdr:col>3</xdr:col>
      <xdr:colOff>365125</xdr:colOff>
      <xdr:row>16</xdr:row>
      <xdr:rowOff>206375</xdr:rowOff>
    </xdr:from>
    <xdr:to>
      <xdr:col>4</xdr:col>
      <xdr:colOff>263525</xdr:colOff>
      <xdr:row>18</xdr:row>
      <xdr:rowOff>200025</xdr:rowOff>
    </xdr:to>
    <xdr:pic>
      <xdr:nvPicPr>
        <xdr:cNvPr id="48" name="Graphic 47" descr="Bar chart with solid fill">
          <a:extLst>
            <a:ext uri="{FF2B5EF4-FFF2-40B4-BE49-F238E27FC236}">
              <a16:creationId xmlns:a16="http://schemas.microsoft.com/office/drawing/2014/main" id="{B2B716EF-590F-7B50-37A4-B9B8E6D2C64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730375" y="4270375"/>
          <a:ext cx="501650" cy="501650"/>
        </a:xfrm>
        <a:prstGeom prst="rect">
          <a:avLst/>
        </a:prstGeom>
      </xdr:spPr>
    </xdr:pic>
    <xdr:clientData/>
  </xdr:twoCellAnchor>
  <xdr:twoCellAnchor editAs="oneCell">
    <xdr:from>
      <xdr:col>3</xdr:col>
      <xdr:colOff>412750</xdr:colOff>
      <xdr:row>19</xdr:row>
      <xdr:rowOff>127000</xdr:rowOff>
    </xdr:from>
    <xdr:to>
      <xdr:col>4</xdr:col>
      <xdr:colOff>285750</xdr:colOff>
      <xdr:row>21</xdr:row>
      <xdr:rowOff>95250</xdr:rowOff>
    </xdr:to>
    <xdr:pic>
      <xdr:nvPicPr>
        <xdr:cNvPr id="59" name="Graphic 58" descr="Document with solid fill">
          <a:extLst>
            <a:ext uri="{FF2B5EF4-FFF2-40B4-BE49-F238E27FC236}">
              <a16:creationId xmlns:a16="http://schemas.microsoft.com/office/drawing/2014/main" id="{8BD630A5-6401-CDAD-C737-C138F1E92A1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778000" y="4953000"/>
          <a:ext cx="476250" cy="476250"/>
        </a:xfrm>
        <a:prstGeom prst="rect">
          <a:avLst/>
        </a:prstGeom>
      </xdr:spPr>
    </xdr:pic>
    <xdr:clientData/>
  </xdr:twoCellAnchor>
  <xdr:twoCellAnchor>
    <xdr:from>
      <xdr:col>4</xdr:col>
      <xdr:colOff>231775</xdr:colOff>
      <xdr:row>17</xdr:row>
      <xdr:rowOff>12699</xdr:rowOff>
    </xdr:from>
    <xdr:to>
      <xdr:col>8</xdr:col>
      <xdr:colOff>396875</xdr:colOff>
      <xdr:row>18</xdr:row>
      <xdr:rowOff>238124</xdr:rowOff>
    </xdr:to>
    <xdr:sp macro="" textlink="">
      <xdr:nvSpPr>
        <xdr:cNvPr id="65" name="TextBox 64">
          <a:hlinkClick xmlns:r="http://schemas.openxmlformats.org/officeDocument/2006/relationships" r:id="rId15"/>
          <a:extLst>
            <a:ext uri="{FF2B5EF4-FFF2-40B4-BE49-F238E27FC236}">
              <a16:creationId xmlns:a16="http://schemas.microsoft.com/office/drawing/2014/main" id="{FCA5C3E9-8DD7-5CBD-EEE8-2A036A1EB9C0}"/>
            </a:ext>
          </a:extLst>
        </xdr:cNvPr>
        <xdr:cNvSpPr txBox="1"/>
      </xdr:nvSpPr>
      <xdr:spPr>
        <a:xfrm>
          <a:off x="2200275" y="4330699"/>
          <a:ext cx="2578100" cy="479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800" b="1">
              <a:solidFill>
                <a:schemeClr val="bg1"/>
              </a:solidFill>
              <a:latin typeface="Avenir Next LT Pro" panose="020B0504020202020204" pitchFamily="34" charset="0"/>
            </a:rPr>
            <a:t>Income</a:t>
          </a:r>
          <a:r>
            <a:rPr lang="en-ID" sz="1800" b="1" baseline="0">
              <a:solidFill>
                <a:schemeClr val="bg1"/>
              </a:solidFill>
              <a:latin typeface="Avenir Next LT Pro" panose="020B0504020202020204" pitchFamily="34" charset="0"/>
            </a:rPr>
            <a:t> &amp; Expense</a:t>
          </a:r>
          <a:endParaRPr lang="en-ID" sz="1800" b="1">
            <a:solidFill>
              <a:schemeClr val="bg1"/>
            </a:solidFill>
            <a:latin typeface="Avenir Next LT Pro" panose="020B0504020202020204" pitchFamily="34" charset="0"/>
          </a:endParaRPr>
        </a:p>
      </xdr:txBody>
    </xdr:sp>
    <xdr:clientData/>
  </xdr:twoCellAnchor>
  <xdr:twoCellAnchor>
    <xdr:from>
      <xdr:col>4</xdr:col>
      <xdr:colOff>231775</xdr:colOff>
      <xdr:row>19</xdr:row>
      <xdr:rowOff>171449</xdr:rowOff>
    </xdr:from>
    <xdr:to>
      <xdr:col>6</xdr:col>
      <xdr:colOff>47625</xdr:colOff>
      <xdr:row>21</xdr:row>
      <xdr:rowOff>142874</xdr:rowOff>
    </xdr:to>
    <xdr:sp macro="" textlink="">
      <xdr:nvSpPr>
        <xdr:cNvPr id="69" name="TextBox 68">
          <a:extLst>
            <a:ext uri="{FF2B5EF4-FFF2-40B4-BE49-F238E27FC236}">
              <a16:creationId xmlns:a16="http://schemas.microsoft.com/office/drawing/2014/main" id="{8534BFDE-0E04-6C66-889A-36593BA9DE91}"/>
            </a:ext>
          </a:extLst>
        </xdr:cNvPr>
        <xdr:cNvSpPr txBox="1"/>
      </xdr:nvSpPr>
      <xdr:spPr>
        <a:xfrm>
          <a:off x="2200275" y="4997449"/>
          <a:ext cx="1022350" cy="479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800" b="1">
              <a:solidFill>
                <a:schemeClr val="bg1"/>
              </a:solidFill>
              <a:latin typeface="Avenir Next LT Pro" panose="020B0504020202020204" pitchFamily="34" charset="0"/>
            </a:rPr>
            <a:t>Report</a:t>
          </a:r>
        </a:p>
      </xdr:txBody>
    </xdr:sp>
    <xdr:clientData/>
  </xdr:twoCellAnchor>
  <xdr:twoCellAnchor editAs="oneCell">
    <xdr:from>
      <xdr:col>4</xdr:col>
      <xdr:colOff>197625</xdr:colOff>
      <xdr:row>23</xdr:row>
      <xdr:rowOff>118250</xdr:rowOff>
    </xdr:from>
    <xdr:to>
      <xdr:col>4</xdr:col>
      <xdr:colOff>587375</xdr:colOff>
      <xdr:row>25</xdr:row>
      <xdr:rowOff>0</xdr:rowOff>
    </xdr:to>
    <xdr:pic>
      <xdr:nvPicPr>
        <xdr:cNvPr id="83" name="Graphic 82" descr="Bookmark outline">
          <a:extLst>
            <a:ext uri="{FF2B5EF4-FFF2-40B4-BE49-F238E27FC236}">
              <a16:creationId xmlns:a16="http://schemas.microsoft.com/office/drawing/2014/main" id="{AFE19FD7-E7DE-450D-5690-FF610553BECA}"/>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2166125" y="5960250"/>
          <a:ext cx="389750" cy="389750"/>
        </a:xfrm>
        <a:prstGeom prst="rect">
          <a:avLst/>
        </a:prstGeom>
      </xdr:spPr>
    </xdr:pic>
    <xdr:clientData/>
  </xdr:twoCellAnchor>
  <xdr:twoCellAnchor>
    <xdr:from>
      <xdr:col>4</xdr:col>
      <xdr:colOff>190500</xdr:colOff>
      <xdr:row>21</xdr:row>
      <xdr:rowOff>219074</xdr:rowOff>
    </xdr:from>
    <xdr:to>
      <xdr:col>7</xdr:col>
      <xdr:colOff>47624</xdr:colOff>
      <xdr:row>23</xdr:row>
      <xdr:rowOff>47626</xdr:rowOff>
    </xdr:to>
    <xdr:grpSp>
      <xdr:nvGrpSpPr>
        <xdr:cNvPr id="89" name="Group 88">
          <a:hlinkClick xmlns:r="http://schemas.openxmlformats.org/officeDocument/2006/relationships" r:id="rId18" tooltip="Laba Rugi"/>
          <a:extLst>
            <a:ext uri="{FF2B5EF4-FFF2-40B4-BE49-F238E27FC236}">
              <a16:creationId xmlns:a16="http://schemas.microsoft.com/office/drawing/2014/main" id="{54DA3AFB-6F0F-AD22-542F-3A89518461D1}"/>
            </a:ext>
          </a:extLst>
        </xdr:cNvPr>
        <xdr:cNvGrpSpPr/>
      </xdr:nvGrpSpPr>
      <xdr:grpSpPr>
        <a:xfrm>
          <a:off x="2159000" y="5553074"/>
          <a:ext cx="1666874" cy="336552"/>
          <a:chOff x="2159000" y="5489574"/>
          <a:chExt cx="1666874" cy="479425"/>
        </a:xfrm>
      </xdr:grpSpPr>
      <xdr:pic>
        <xdr:nvPicPr>
          <xdr:cNvPr id="79" name="Graphic 78" descr="Bookmark with solid fill">
            <a:extLst>
              <a:ext uri="{FF2B5EF4-FFF2-40B4-BE49-F238E27FC236}">
                <a16:creationId xmlns:a16="http://schemas.microsoft.com/office/drawing/2014/main" id="{390F6FFC-7B9F-D1F2-9899-2A051175C367}"/>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2159000" y="5508625"/>
            <a:ext cx="389750" cy="389750"/>
          </a:xfrm>
          <a:prstGeom prst="rect">
            <a:avLst/>
          </a:prstGeom>
        </xdr:spPr>
      </xdr:pic>
      <xdr:sp macro="" textlink="">
        <xdr:nvSpPr>
          <xdr:cNvPr id="85" name="TextBox 84">
            <a:extLst>
              <a:ext uri="{FF2B5EF4-FFF2-40B4-BE49-F238E27FC236}">
                <a16:creationId xmlns:a16="http://schemas.microsoft.com/office/drawing/2014/main" id="{384DB3F1-5155-298B-0FF5-F120EC7F140D}"/>
              </a:ext>
            </a:extLst>
          </xdr:cNvPr>
          <xdr:cNvSpPr txBox="1"/>
        </xdr:nvSpPr>
        <xdr:spPr>
          <a:xfrm>
            <a:off x="2470149" y="5489574"/>
            <a:ext cx="1355725" cy="479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800" b="1">
                <a:solidFill>
                  <a:schemeClr val="bg1"/>
                </a:solidFill>
                <a:latin typeface="Avenir Next LT Pro" panose="020B0504020202020204" pitchFamily="34" charset="0"/>
              </a:rPr>
              <a:t>Laba Rugi</a:t>
            </a:r>
          </a:p>
        </xdr:txBody>
      </xdr:sp>
    </xdr:grpSp>
    <xdr:clientData/>
  </xdr:twoCellAnchor>
  <xdr:twoCellAnchor>
    <xdr:from>
      <xdr:col>4</xdr:col>
      <xdr:colOff>501649</xdr:colOff>
      <xdr:row>23</xdr:row>
      <xdr:rowOff>123824</xdr:rowOff>
    </xdr:from>
    <xdr:to>
      <xdr:col>8</xdr:col>
      <xdr:colOff>174624</xdr:colOff>
      <xdr:row>25</xdr:row>
      <xdr:rowOff>95249</xdr:rowOff>
    </xdr:to>
    <xdr:sp macro="" textlink="">
      <xdr:nvSpPr>
        <xdr:cNvPr id="86" name="TextBox 85">
          <a:hlinkClick xmlns:r="http://schemas.openxmlformats.org/officeDocument/2006/relationships" r:id="rId21"/>
          <a:extLst>
            <a:ext uri="{FF2B5EF4-FFF2-40B4-BE49-F238E27FC236}">
              <a16:creationId xmlns:a16="http://schemas.microsoft.com/office/drawing/2014/main" id="{1B50BD8F-BBDE-A845-B638-E21A5BA2F27E}"/>
            </a:ext>
          </a:extLst>
        </xdr:cNvPr>
        <xdr:cNvSpPr txBox="1"/>
      </xdr:nvSpPr>
      <xdr:spPr>
        <a:xfrm>
          <a:off x="2470149" y="5965824"/>
          <a:ext cx="2085975" cy="479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800" b="1">
              <a:solidFill>
                <a:schemeClr val="bg1"/>
              </a:solidFill>
              <a:latin typeface="Avenir Next LT Pro" panose="020B0504020202020204" pitchFamily="34" charset="0"/>
            </a:rPr>
            <a:t>Posisi</a:t>
          </a:r>
          <a:r>
            <a:rPr lang="en-ID" sz="1800" b="1" baseline="0">
              <a:solidFill>
                <a:schemeClr val="bg1"/>
              </a:solidFill>
              <a:latin typeface="Avenir Next LT Pro" panose="020B0504020202020204" pitchFamily="34" charset="0"/>
            </a:rPr>
            <a:t> Keuangan</a:t>
          </a:r>
          <a:endParaRPr lang="en-ID" sz="1800" b="1">
            <a:solidFill>
              <a:schemeClr val="bg1"/>
            </a:solidFill>
            <a:latin typeface="Avenir Next LT Pro" panose="020B0504020202020204" pitchFamily="34" charset="0"/>
          </a:endParaRPr>
        </a:p>
      </xdr:txBody>
    </xdr:sp>
    <xdr:clientData/>
  </xdr:twoCellAnchor>
  <xdr:twoCellAnchor>
    <xdr:from>
      <xdr:col>4</xdr:col>
      <xdr:colOff>190500</xdr:colOff>
      <xdr:row>25</xdr:row>
      <xdr:rowOff>44449</xdr:rowOff>
    </xdr:from>
    <xdr:to>
      <xdr:col>7</xdr:col>
      <xdr:colOff>142874</xdr:colOff>
      <xdr:row>26</xdr:row>
      <xdr:rowOff>127000</xdr:rowOff>
    </xdr:to>
    <xdr:grpSp>
      <xdr:nvGrpSpPr>
        <xdr:cNvPr id="90" name="Group 89">
          <a:hlinkClick xmlns:r="http://schemas.openxmlformats.org/officeDocument/2006/relationships" r:id="rId22"/>
          <a:extLst>
            <a:ext uri="{FF2B5EF4-FFF2-40B4-BE49-F238E27FC236}">
              <a16:creationId xmlns:a16="http://schemas.microsoft.com/office/drawing/2014/main" id="{6BEBBB7E-49AF-3CF5-2538-5108C4789143}"/>
            </a:ext>
          </a:extLst>
        </xdr:cNvPr>
        <xdr:cNvGrpSpPr/>
      </xdr:nvGrpSpPr>
      <xdr:grpSpPr>
        <a:xfrm>
          <a:off x="2159000" y="6394449"/>
          <a:ext cx="1762124" cy="336551"/>
          <a:chOff x="2159000" y="6394449"/>
          <a:chExt cx="1762124" cy="479425"/>
        </a:xfrm>
      </xdr:grpSpPr>
      <xdr:pic>
        <xdr:nvPicPr>
          <xdr:cNvPr id="84" name="Graphic 83" descr="Bookmark with solid fill">
            <a:extLst>
              <a:ext uri="{FF2B5EF4-FFF2-40B4-BE49-F238E27FC236}">
                <a16:creationId xmlns:a16="http://schemas.microsoft.com/office/drawing/2014/main" id="{B444A668-78A3-A8B6-A26B-CA56E5713DAF}"/>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2159000" y="6429375"/>
            <a:ext cx="389750" cy="389750"/>
          </a:xfrm>
          <a:prstGeom prst="rect">
            <a:avLst/>
          </a:prstGeom>
        </xdr:spPr>
      </xdr:pic>
      <xdr:sp macro="" textlink="">
        <xdr:nvSpPr>
          <xdr:cNvPr id="87" name="TextBox 86">
            <a:extLst>
              <a:ext uri="{FF2B5EF4-FFF2-40B4-BE49-F238E27FC236}">
                <a16:creationId xmlns:a16="http://schemas.microsoft.com/office/drawing/2014/main" id="{1BBF9B83-B846-8C49-B477-6E18915BE9AD}"/>
              </a:ext>
            </a:extLst>
          </xdr:cNvPr>
          <xdr:cNvSpPr txBox="1"/>
        </xdr:nvSpPr>
        <xdr:spPr>
          <a:xfrm>
            <a:off x="2470149" y="6394449"/>
            <a:ext cx="1450975" cy="479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800" b="1">
                <a:solidFill>
                  <a:schemeClr val="bg1"/>
                </a:solidFill>
                <a:latin typeface="Avenir Next LT Pro" panose="020B0504020202020204" pitchFamily="34" charset="0"/>
              </a:rPr>
              <a:t>Arus</a:t>
            </a:r>
            <a:r>
              <a:rPr lang="en-ID" sz="1800" b="1" baseline="0">
                <a:solidFill>
                  <a:schemeClr val="bg1"/>
                </a:solidFill>
                <a:latin typeface="Avenir Next LT Pro" panose="020B0504020202020204" pitchFamily="34" charset="0"/>
              </a:rPr>
              <a:t> Kas</a:t>
            </a:r>
            <a:endParaRPr lang="en-ID" sz="1800" b="1">
              <a:solidFill>
                <a:schemeClr val="bg1"/>
              </a:solidFill>
              <a:latin typeface="Avenir Next LT Pro" panose="020B0504020202020204" pitchFamily="34" charset="0"/>
            </a:endParaRPr>
          </a:p>
        </xdr:txBody>
      </xdr:sp>
    </xdr:grpSp>
    <xdr:clientData/>
  </xdr:twoCellAnchor>
  <xdr:twoCellAnchor>
    <xdr:from>
      <xdr:col>3</xdr:col>
      <xdr:colOff>44450</xdr:colOff>
      <xdr:row>4</xdr:row>
      <xdr:rowOff>31750</xdr:rowOff>
    </xdr:from>
    <xdr:to>
      <xdr:col>8</xdr:col>
      <xdr:colOff>95250</xdr:colOff>
      <xdr:row>5</xdr:row>
      <xdr:rowOff>222250</xdr:rowOff>
    </xdr:to>
    <xdr:sp macro="" textlink="">
      <xdr:nvSpPr>
        <xdr:cNvPr id="88" name="TextBox 87">
          <a:extLst>
            <a:ext uri="{FF2B5EF4-FFF2-40B4-BE49-F238E27FC236}">
              <a16:creationId xmlns:a16="http://schemas.microsoft.com/office/drawing/2014/main" id="{39660A57-A397-B876-C8A1-C012102DFE8A}"/>
            </a:ext>
          </a:extLst>
        </xdr:cNvPr>
        <xdr:cNvSpPr txBox="1"/>
      </xdr:nvSpPr>
      <xdr:spPr>
        <a:xfrm>
          <a:off x="1409700" y="1047750"/>
          <a:ext cx="306705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2000" b="1">
              <a:solidFill>
                <a:schemeClr val="bg1"/>
              </a:solidFill>
              <a:latin typeface="Avenir Next LT Pro" panose="020B0504020202020204" pitchFamily="34" charset="0"/>
            </a:rPr>
            <a:t>Dynamic</a:t>
          </a:r>
          <a:r>
            <a:rPr lang="en-ID" sz="2000" b="1" baseline="0">
              <a:solidFill>
                <a:schemeClr val="bg1"/>
              </a:solidFill>
              <a:latin typeface="Avenir Next LT Pro" panose="020B0504020202020204" pitchFamily="34" charset="0"/>
            </a:rPr>
            <a:t> Dashboard</a:t>
          </a:r>
          <a:endParaRPr lang="en-ID" sz="2000" b="1">
            <a:solidFill>
              <a:schemeClr val="bg1"/>
            </a:solidFill>
            <a:latin typeface="Avenir Next LT Pro" panose="020B0504020202020204" pitchFamily="34" charset="0"/>
          </a:endParaRPr>
        </a:p>
      </xdr:txBody>
    </xdr:sp>
    <xdr:clientData/>
  </xdr:twoCellAnchor>
  <xdr:twoCellAnchor>
    <xdr:from>
      <xdr:col>4</xdr:col>
      <xdr:colOff>41275</xdr:colOff>
      <xdr:row>8</xdr:row>
      <xdr:rowOff>66675</xdr:rowOff>
    </xdr:from>
    <xdr:to>
      <xdr:col>7</xdr:col>
      <xdr:colOff>127000</xdr:colOff>
      <xdr:row>10</xdr:row>
      <xdr:rowOff>231775</xdr:rowOff>
    </xdr:to>
    <xdr:sp macro="" textlink="LR!C36">
      <xdr:nvSpPr>
        <xdr:cNvPr id="31" name="TextBox 30">
          <a:extLst>
            <a:ext uri="{FF2B5EF4-FFF2-40B4-BE49-F238E27FC236}">
              <a16:creationId xmlns:a16="http://schemas.microsoft.com/office/drawing/2014/main" id="{EA0FA8FC-1D14-B16A-423E-89537E9E9BB5}"/>
            </a:ext>
          </a:extLst>
        </xdr:cNvPr>
        <xdr:cNvSpPr txBox="1"/>
      </xdr:nvSpPr>
      <xdr:spPr>
        <a:xfrm>
          <a:off x="2009775" y="2098675"/>
          <a:ext cx="1895475" cy="673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1C41E93-E584-4F11-A0FA-1D6C2CBBF7AB}" type="TxLink">
            <a:rPr lang="en-US" sz="2800" b="1" i="0" u="none" strike="noStrike">
              <a:solidFill>
                <a:schemeClr val="bg1"/>
              </a:solidFill>
              <a:latin typeface="Aptos Narrow"/>
            </a:rPr>
            <a:pPr/>
            <a:t> 25.044.861 </a:t>
          </a:fld>
          <a:endParaRPr lang="en-ID" sz="400000" b="1">
            <a:solidFill>
              <a:schemeClr val="bg1"/>
            </a:solidFill>
            <a:latin typeface="Avenir Next LT Pro" panose="020B0504020202020204" pitchFamily="34" charset="0"/>
          </a:endParaRPr>
        </a:p>
      </xdr:txBody>
    </xdr:sp>
    <xdr:clientData/>
  </xdr:twoCellAnchor>
  <xdr:twoCellAnchor>
    <xdr:from>
      <xdr:col>4</xdr:col>
      <xdr:colOff>501649</xdr:colOff>
      <xdr:row>26</xdr:row>
      <xdr:rowOff>155574</xdr:rowOff>
    </xdr:from>
    <xdr:to>
      <xdr:col>8</xdr:col>
      <xdr:colOff>412750</xdr:colOff>
      <xdr:row>28</xdr:row>
      <xdr:rowOff>126999</xdr:rowOff>
    </xdr:to>
    <xdr:sp macro="" textlink="">
      <xdr:nvSpPr>
        <xdr:cNvPr id="42" name="TextBox 41">
          <a:hlinkClick xmlns:r="http://schemas.openxmlformats.org/officeDocument/2006/relationships" r:id="rId23"/>
          <a:extLst>
            <a:ext uri="{FF2B5EF4-FFF2-40B4-BE49-F238E27FC236}">
              <a16:creationId xmlns:a16="http://schemas.microsoft.com/office/drawing/2014/main" id="{03F9A6C9-EBF8-92A6-6123-9227398D2330}"/>
            </a:ext>
          </a:extLst>
        </xdr:cNvPr>
        <xdr:cNvSpPr txBox="1"/>
      </xdr:nvSpPr>
      <xdr:spPr>
        <a:xfrm>
          <a:off x="2470149" y="6759574"/>
          <a:ext cx="2324101" cy="479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b="1">
              <a:solidFill>
                <a:schemeClr val="bg1"/>
              </a:solidFill>
              <a:latin typeface="Avenir Next LT Pro" panose="020B0504020202020204" pitchFamily="34" charset="0"/>
            </a:rPr>
            <a:t>Perubahan</a:t>
          </a:r>
          <a:r>
            <a:rPr lang="en-ID" sz="1600" b="1" baseline="0">
              <a:solidFill>
                <a:schemeClr val="bg1"/>
              </a:solidFill>
              <a:latin typeface="Avenir Next LT Pro" panose="020B0504020202020204" pitchFamily="34" charset="0"/>
            </a:rPr>
            <a:t> Ekuitas</a:t>
          </a:r>
          <a:endParaRPr lang="en-ID" sz="1600" b="1">
            <a:solidFill>
              <a:schemeClr val="bg1"/>
            </a:solidFill>
            <a:latin typeface="Avenir Next LT Pro" panose="020B0504020202020204" pitchFamily="34" charset="0"/>
          </a:endParaRPr>
        </a:p>
      </xdr:txBody>
    </xdr:sp>
    <xdr:clientData/>
  </xdr:twoCellAnchor>
  <xdr:twoCellAnchor editAs="oneCell">
    <xdr:from>
      <xdr:col>4</xdr:col>
      <xdr:colOff>197625</xdr:colOff>
      <xdr:row>26</xdr:row>
      <xdr:rowOff>118250</xdr:rowOff>
    </xdr:from>
    <xdr:to>
      <xdr:col>4</xdr:col>
      <xdr:colOff>587375</xdr:colOff>
      <xdr:row>28</xdr:row>
      <xdr:rowOff>0</xdr:rowOff>
    </xdr:to>
    <xdr:pic>
      <xdr:nvPicPr>
        <xdr:cNvPr id="51" name="Graphic 50" descr="Bookmark outline">
          <a:extLst>
            <a:ext uri="{FF2B5EF4-FFF2-40B4-BE49-F238E27FC236}">
              <a16:creationId xmlns:a16="http://schemas.microsoft.com/office/drawing/2014/main" id="{E2F09B51-5500-8E6A-C4E8-6B8DC20C91CC}"/>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2166125" y="6722250"/>
          <a:ext cx="389750" cy="389750"/>
        </a:xfrm>
        <a:prstGeom prst="rect">
          <a:avLst/>
        </a:prstGeom>
      </xdr:spPr>
    </xdr:pic>
    <xdr:clientData/>
  </xdr:twoCellAnchor>
  <xdr:twoCellAnchor>
    <xdr:from>
      <xdr:col>15</xdr:col>
      <xdr:colOff>190500</xdr:colOff>
      <xdr:row>18</xdr:row>
      <xdr:rowOff>34924</xdr:rowOff>
    </xdr:from>
    <xdr:to>
      <xdr:col>22</xdr:col>
      <xdr:colOff>555625</xdr:colOff>
      <xdr:row>34</xdr:row>
      <xdr:rowOff>31750</xdr:rowOff>
    </xdr:to>
    <xdr:graphicFrame macro="">
      <xdr:nvGraphicFramePr>
        <xdr:cNvPr id="55" name="Chart 54">
          <a:extLst>
            <a:ext uri="{FF2B5EF4-FFF2-40B4-BE49-F238E27FC236}">
              <a16:creationId xmlns:a16="http://schemas.microsoft.com/office/drawing/2014/main" id="{26AAAD45-A17E-4A87-82E0-57B9713915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18</xdr:col>
      <xdr:colOff>1587</xdr:colOff>
      <xdr:row>7</xdr:row>
      <xdr:rowOff>47625</xdr:rowOff>
    </xdr:from>
    <xdr:to>
      <xdr:col>23</xdr:col>
      <xdr:colOff>128587</xdr:colOff>
      <xdr:row>17</xdr:row>
      <xdr:rowOff>250825</xdr:rowOff>
    </xdr:to>
    <xdr:graphicFrame macro="">
      <xdr:nvGraphicFramePr>
        <xdr:cNvPr id="61" name="Chart 60">
          <a:extLst>
            <a:ext uri="{FF2B5EF4-FFF2-40B4-BE49-F238E27FC236}">
              <a16:creationId xmlns:a16="http://schemas.microsoft.com/office/drawing/2014/main" id="{9816EB1F-BB04-4F60-82ED-5B2116BC0E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editAs="absolute">
    <xdr:from>
      <xdr:col>23</xdr:col>
      <xdr:colOff>492125</xdr:colOff>
      <xdr:row>6</xdr:row>
      <xdr:rowOff>190500</xdr:rowOff>
    </xdr:from>
    <xdr:to>
      <xdr:col>28</xdr:col>
      <xdr:colOff>1441449</xdr:colOff>
      <xdr:row>17</xdr:row>
      <xdr:rowOff>149224</xdr:rowOff>
    </xdr:to>
    <xdr:graphicFrame macro="">
      <xdr:nvGraphicFramePr>
        <xdr:cNvPr id="72" name="Chart 71">
          <a:extLst>
            <a:ext uri="{FF2B5EF4-FFF2-40B4-BE49-F238E27FC236}">
              <a16:creationId xmlns:a16="http://schemas.microsoft.com/office/drawing/2014/main" id="{46AD752F-98FA-4D8E-867C-6AACFF1903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628650</xdr:colOff>
          <xdr:row>42</xdr:row>
          <xdr:rowOff>57150</xdr:rowOff>
        </xdr:from>
        <xdr:to>
          <xdr:col>13</xdr:col>
          <xdr:colOff>381000</xdr:colOff>
          <xdr:row>92</xdr:row>
          <xdr:rowOff>57150</xdr:rowOff>
        </xdr:to>
        <xdr:pic>
          <xdr:nvPicPr>
            <xdr:cNvPr id="2" name="Picture 1">
              <a:extLst>
                <a:ext uri="{FF2B5EF4-FFF2-40B4-BE49-F238E27FC236}">
                  <a16:creationId xmlns:a16="http://schemas.microsoft.com/office/drawing/2014/main" id="{56519304-E48E-AB41-E4D2-876C1D818736}"/>
                </a:ext>
              </a:extLst>
            </xdr:cNvPr>
            <xdr:cNvPicPr>
              <a:picLocks noChangeAspect="1" noChangeArrowheads="1"/>
              <a:extLst>
                <a:ext uri="{84589F7E-364E-4C9E-8A38-B11213B215E9}">
                  <a14:cameraTool cellRange="$H$3:$J$32" spid="_x0000_s24213"/>
                </a:ext>
              </a:extLst>
            </xdr:cNvPicPr>
          </xdr:nvPicPr>
          <xdr:blipFill>
            <a:blip xmlns:r="http://schemas.openxmlformats.org/officeDocument/2006/relationships" r:embed="rId1"/>
            <a:srcRect/>
            <a:stretch>
              <a:fillRect/>
            </a:stretch>
          </xdr:blipFill>
          <xdr:spPr bwMode="auto">
            <a:xfrm>
              <a:off x="8077200" y="19154775"/>
              <a:ext cx="2390775" cy="9525000"/>
            </a:xfrm>
            <a:prstGeom prst="rect">
              <a:avLst/>
            </a:prstGeom>
            <a:solidFill>
              <a:srgbClr val="FFFFFF" mc:Ignorable="a14" a14:legacySpreadsheetColorIndex="9"/>
            </a:solidFill>
            <a:ln w="9525">
              <a:noFill/>
              <a:miter lim="800000"/>
              <a:headEnd/>
              <a:tailEnd/>
            </a:ln>
          </xdr:spPr>
        </xdr:pic>
        <xdr:clientData/>
      </xdr:twoCellAnchor>
    </mc:Choice>
    <mc:Fallback/>
  </mc:AlternateContent>
  <xdr:twoCellAnchor>
    <xdr:from>
      <xdr:col>12</xdr:col>
      <xdr:colOff>200026</xdr:colOff>
      <xdr:row>6</xdr:row>
      <xdr:rowOff>190500</xdr:rowOff>
    </xdr:from>
    <xdr:to>
      <xdr:col>18</xdr:col>
      <xdr:colOff>600075</xdr:colOff>
      <xdr:row>14</xdr:row>
      <xdr:rowOff>85724</xdr:rowOff>
    </xdr:to>
    <xdr:graphicFrame macro="">
      <xdr:nvGraphicFramePr>
        <xdr:cNvPr id="4" name="Chart 3">
          <a:extLst>
            <a:ext uri="{FF2B5EF4-FFF2-40B4-BE49-F238E27FC236}">
              <a16:creationId xmlns:a16="http://schemas.microsoft.com/office/drawing/2014/main" id="{60E09EF0-B8E3-E4E1-7D8B-92F655C9F0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19050</xdr:colOff>
          <xdr:row>16</xdr:row>
          <xdr:rowOff>114300</xdr:rowOff>
        </xdr:from>
        <xdr:to>
          <xdr:col>18</xdr:col>
          <xdr:colOff>28575</xdr:colOff>
          <xdr:row>28</xdr:row>
          <xdr:rowOff>123825</xdr:rowOff>
        </xdr:to>
        <xdr:pic>
          <xdr:nvPicPr>
            <xdr:cNvPr id="8" name="Picture 7">
              <a:extLst>
                <a:ext uri="{FF2B5EF4-FFF2-40B4-BE49-F238E27FC236}">
                  <a16:creationId xmlns:a16="http://schemas.microsoft.com/office/drawing/2014/main" id="{D33395F2-94BE-FE26-592F-F97027C34997}"/>
                </a:ext>
              </a:extLst>
            </xdr:cNvPr>
            <xdr:cNvPicPr>
              <a:picLocks noChangeAspect="1" noChangeArrowheads="1"/>
              <a:extLst>
                <a:ext uri="{84589F7E-364E-4C9E-8A38-B11213B215E9}">
                  <a14:cameraTool cellRange="$N$31:$R$42" spid="_x0000_s24214"/>
                </a:ext>
              </a:extLst>
            </xdr:cNvPicPr>
          </xdr:nvPicPr>
          <xdr:blipFill>
            <a:blip xmlns:r="http://schemas.openxmlformats.org/officeDocument/2006/relationships" r:embed="rId3"/>
            <a:srcRect/>
            <a:stretch>
              <a:fillRect/>
            </a:stretch>
          </xdr:blipFill>
          <xdr:spPr bwMode="auto">
            <a:xfrm>
              <a:off x="10448925" y="3162300"/>
              <a:ext cx="5553075" cy="2295525"/>
            </a:xfrm>
            <a:prstGeom prst="rect">
              <a:avLst/>
            </a:prstGeom>
            <a:solidFill>
              <a:srgbClr val="FFFFFF" mc:Ignorable="a14" a14:legacySpreadsheetColorIndex="9"/>
            </a:solidFill>
            <a:ln w="9525">
              <a:no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0</xdr:colOff>
          <xdr:row>9</xdr:row>
          <xdr:rowOff>0</xdr:rowOff>
        </xdr:from>
        <xdr:to>
          <xdr:col>23</xdr:col>
          <xdr:colOff>0</xdr:colOff>
          <xdr:row>23</xdr:row>
          <xdr:rowOff>428625</xdr:rowOff>
        </xdr:to>
        <xdr:pic>
          <xdr:nvPicPr>
            <xdr:cNvPr id="10" name="Picture 9">
              <a:extLst>
                <a:ext uri="{FF2B5EF4-FFF2-40B4-BE49-F238E27FC236}">
                  <a16:creationId xmlns:a16="http://schemas.microsoft.com/office/drawing/2014/main" id="{6CDF0144-4414-4EFA-AB16-0CCB1DAD0242}"/>
                </a:ext>
              </a:extLst>
            </xdr:cNvPr>
            <xdr:cNvPicPr>
              <a:picLocks noChangeAspect="1" noChangeArrowheads="1"/>
              <a:extLst>
                <a:ext uri="{84589F7E-364E-4C9E-8A38-B11213B215E9}">
                  <a14:cameraTool cellRange="$V$1:$W$6" spid="_x0000_s24215"/>
                </a:ext>
              </a:extLst>
            </xdr:cNvPicPr>
          </xdr:nvPicPr>
          <xdr:blipFill>
            <a:blip xmlns:r="http://schemas.openxmlformats.org/officeDocument/2006/relationships" r:embed="rId4"/>
            <a:srcRect/>
            <a:stretch>
              <a:fillRect/>
            </a:stretch>
          </xdr:blipFill>
          <xdr:spPr bwMode="auto">
            <a:xfrm>
              <a:off x="17459325" y="6524625"/>
              <a:ext cx="2619375" cy="5762625"/>
            </a:xfrm>
            <a:prstGeom prst="rect">
              <a:avLst/>
            </a:prstGeom>
            <a:solidFill>
              <a:srgbClr val="FFFFFF" mc:Ignorable="a14" a14:legacySpreadsheetColorIndex="9"/>
            </a:solidFill>
            <a:ln w="9525">
              <a:no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19050</xdr:colOff>
          <xdr:row>8</xdr:row>
          <xdr:rowOff>85725</xdr:rowOff>
        </xdr:from>
        <xdr:to>
          <xdr:col>26</xdr:col>
          <xdr:colOff>19050</xdr:colOff>
          <xdr:row>20</xdr:row>
          <xdr:rowOff>323850</xdr:rowOff>
        </xdr:to>
        <xdr:pic>
          <xdr:nvPicPr>
            <xdr:cNvPr id="12" name="Picture 11">
              <a:extLst>
                <a:ext uri="{FF2B5EF4-FFF2-40B4-BE49-F238E27FC236}">
                  <a16:creationId xmlns:a16="http://schemas.microsoft.com/office/drawing/2014/main" id="{D363F230-D129-7819-9CAC-99EAF9640BA5}"/>
                </a:ext>
              </a:extLst>
            </xdr:cNvPr>
            <xdr:cNvPicPr>
              <a:picLocks noChangeAspect="1" noChangeArrowheads="1"/>
              <a:extLst>
                <a:ext uri="{84589F7E-364E-4C9E-8A38-B11213B215E9}">
                  <a14:cameraTool cellRange="$Y$1:$Z$5" spid="_x0000_s24216"/>
                </a:ext>
              </a:extLst>
            </xdr:cNvPicPr>
          </xdr:nvPicPr>
          <xdr:blipFill>
            <a:blip xmlns:r="http://schemas.openxmlformats.org/officeDocument/2006/relationships" r:embed="rId5"/>
            <a:srcRect/>
            <a:stretch>
              <a:fillRect/>
            </a:stretch>
          </xdr:blipFill>
          <xdr:spPr bwMode="auto">
            <a:xfrm>
              <a:off x="20707350" y="6419850"/>
              <a:ext cx="2781300" cy="4619625"/>
            </a:xfrm>
            <a:prstGeom prst="rect">
              <a:avLst/>
            </a:prstGeom>
            <a:solidFill>
              <a:srgbClr val="FFFFFF" mc:Ignorable="a14" a14:legacySpreadsheetColorIndex="9"/>
            </a:solidFill>
            <a:ln w="9525">
              <a:noFill/>
              <a:miter lim="800000"/>
              <a:headEnd/>
              <a:tailEnd/>
            </a:ln>
          </xdr:spPr>
        </xdr:pic>
        <xdr:clientData/>
      </xdr:twoCellAnchor>
    </mc:Choice>
    <mc:Fallback/>
  </mc:AlternateContent>
  <xdr:twoCellAnchor>
    <xdr:from>
      <xdr:col>5</xdr:col>
      <xdr:colOff>466725</xdr:colOff>
      <xdr:row>80</xdr:row>
      <xdr:rowOff>104775</xdr:rowOff>
    </xdr:from>
    <xdr:to>
      <xdr:col>9</xdr:col>
      <xdr:colOff>485775</xdr:colOff>
      <xdr:row>94</xdr:row>
      <xdr:rowOff>180975</xdr:rowOff>
    </xdr:to>
    <xdr:graphicFrame macro="">
      <xdr:nvGraphicFramePr>
        <xdr:cNvPr id="13" name="Chart 12">
          <a:extLst>
            <a:ext uri="{FF2B5EF4-FFF2-40B4-BE49-F238E27FC236}">
              <a16:creationId xmlns:a16="http://schemas.microsoft.com/office/drawing/2014/main" id="{8B1AC7E3-F0B6-A89A-FDE0-FF04CEA07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642937</xdr:colOff>
      <xdr:row>65</xdr:row>
      <xdr:rowOff>180975</xdr:rowOff>
    </xdr:from>
    <xdr:to>
      <xdr:col>9</xdr:col>
      <xdr:colOff>661987</xdr:colOff>
      <xdr:row>80</xdr:row>
      <xdr:rowOff>66675</xdr:rowOff>
    </xdr:to>
    <xdr:graphicFrame macro="">
      <xdr:nvGraphicFramePr>
        <xdr:cNvPr id="17" name="Chart 16">
          <a:extLst>
            <a:ext uri="{FF2B5EF4-FFF2-40B4-BE49-F238E27FC236}">
              <a16:creationId xmlns:a16="http://schemas.microsoft.com/office/drawing/2014/main" id="{272F7D5C-9870-C511-2D22-DD8A35D2F6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638175</xdr:colOff>
          <xdr:row>94</xdr:row>
          <xdr:rowOff>180975</xdr:rowOff>
        </xdr:from>
        <xdr:to>
          <xdr:col>9</xdr:col>
          <xdr:colOff>619125</xdr:colOff>
          <xdr:row>98</xdr:row>
          <xdr:rowOff>561975</xdr:rowOff>
        </xdr:to>
        <xdr:pic>
          <xdr:nvPicPr>
            <xdr:cNvPr id="18" name="Picture 17">
              <a:extLst>
                <a:ext uri="{FF2B5EF4-FFF2-40B4-BE49-F238E27FC236}">
                  <a16:creationId xmlns:a16="http://schemas.microsoft.com/office/drawing/2014/main" id="{61C0052F-7391-3710-9F27-F3FE7D7AC8E5}"/>
                </a:ext>
              </a:extLst>
            </xdr:cNvPr>
            <xdr:cNvPicPr>
              <a:picLocks noChangeAspect="1" noChangeArrowheads="1"/>
              <a:extLst>
                <a:ext uri="{84589F7E-364E-4C9E-8A38-B11213B215E9}">
                  <a14:cameraTool cellRange="$C$96:$E$99" spid="_x0000_s24217"/>
                </a:ext>
              </a:extLst>
            </xdr:cNvPicPr>
          </xdr:nvPicPr>
          <xdr:blipFill>
            <a:blip xmlns:r="http://schemas.openxmlformats.org/officeDocument/2006/relationships" r:embed="rId8"/>
            <a:srcRect/>
            <a:stretch>
              <a:fillRect/>
            </a:stretch>
          </xdr:blipFill>
          <xdr:spPr bwMode="auto">
            <a:xfrm>
              <a:off x="4962525" y="22707600"/>
              <a:ext cx="3105150" cy="1733550"/>
            </a:xfrm>
            <a:prstGeom prst="rect">
              <a:avLst/>
            </a:prstGeom>
            <a:solidFill>
              <a:srgbClr val="FFFFFF" mc:Ignorable="a14" a14:legacySpreadsheetColorIndex="9"/>
            </a:solidFill>
            <a:ln w="9525">
              <a:no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381000</xdr:colOff>
          <xdr:row>102</xdr:row>
          <xdr:rowOff>0</xdr:rowOff>
        </xdr:from>
        <xdr:to>
          <xdr:col>18</xdr:col>
          <xdr:colOff>47625</xdr:colOff>
          <xdr:row>111</xdr:row>
          <xdr:rowOff>0</xdr:rowOff>
        </xdr:to>
        <xdr:pic>
          <xdr:nvPicPr>
            <xdr:cNvPr id="5" name="Picture 4">
              <a:extLst>
                <a:ext uri="{FF2B5EF4-FFF2-40B4-BE49-F238E27FC236}">
                  <a16:creationId xmlns:a16="http://schemas.microsoft.com/office/drawing/2014/main" id="{24D6D4FD-8258-6BEF-F4F2-2054BD00DB73}"/>
                </a:ext>
              </a:extLst>
            </xdr:cNvPr>
            <xdr:cNvPicPr>
              <a:picLocks noChangeAspect="1" noChangeArrowheads="1"/>
              <a:extLst>
                <a:ext uri="{84589F7E-364E-4C9E-8A38-B11213B215E9}">
                  <a14:cameraTool cellRange="$C$103:$J$111" spid="_x0000_s24218"/>
                </a:ext>
              </a:extLst>
            </xdr:cNvPicPr>
          </xdr:nvPicPr>
          <xdr:blipFill>
            <a:blip xmlns:r="http://schemas.openxmlformats.org/officeDocument/2006/relationships" r:embed="rId9"/>
            <a:srcRect/>
            <a:stretch>
              <a:fillRect/>
            </a:stretch>
          </xdr:blipFill>
          <xdr:spPr bwMode="auto">
            <a:xfrm>
              <a:off x="8639175" y="25022175"/>
              <a:ext cx="7038975" cy="1714500"/>
            </a:xfrm>
            <a:prstGeom prst="rect">
              <a:avLst/>
            </a:prstGeom>
            <a:solidFill>
              <a:srgbClr val="FFFFFF" mc:Ignorable="a14" a14:legacySpreadsheetColorIndex="9"/>
            </a:solidFill>
            <a:ln w="9525">
              <a:no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114</xdr:row>
          <xdr:rowOff>28575</xdr:rowOff>
        </xdr:from>
        <xdr:to>
          <xdr:col>7</xdr:col>
          <xdr:colOff>409575</xdr:colOff>
          <xdr:row>122</xdr:row>
          <xdr:rowOff>38100</xdr:rowOff>
        </xdr:to>
        <xdr:pic>
          <xdr:nvPicPr>
            <xdr:cNvPr id="6" name="Picture 5">
              <a:extLst>
                <a:ext uri="{FF2B5EF4-FFF2-40B4-BE49-F238E27FC236}">
                  <a16:creationId xmlns:a16="http://schemas.microsoft.com/office/drawing/2014/main" id="{605FB755-6400-D105-85E8-ADB35E1C7570}"/>
                </a:ext>
              </a:extLst>
            </xdr:cNvPr>
            <xdr:cNvPicPr>
              <a:picLocks noChangeAspect="1" noChangeArrowheads="1"/>
              <a:extLst>
                <a:ext uri="{84589F7E-364E-4C9E-8A38-B11213B215E9}">
                  <a14:cameraTool cellRange="$C$115:$D$122" spid="_x0000_s24219"/>
                </a:ext>
              </a:extLst>
            </xdr:cNvPicPr>
          </xdr:nvPicPr>
          <xdr:blipFill>
            <a:blip xmlns:r="http://schemas.openxmlformats.org/officeDocument/2006/relationships" r:embed="rId10"/>
            <a:srcRect/>
            <a:stretch>
              <a:fillRect/>
            </a:stretch>
          </xdr:blipFill>
          <xdr:spPr bwMode="auto">
            <a:xfrm>
              <a:off x="3981450" y="27336750"/>
              <a:ext cx="2295525" cy="1533525"/>
            </a:xfrm>
            <a:prstGeom prst="rect">
              <a:avLst/>
            </a:prstGeom>
            <a:solidFill>
              <a:srgbClr val="FFFFFF" mc:Ignorable="a14" a14:legacySpreadsheetColorIndex="9"/>
            </a:solidFill>
            <a:ln w="9525">
              <a:noFill/>
              <a:miter lim="800000"/>
              <a:headEnd/>
              <a:tailEnd/>
            </a:ln>
          </xdr:spPr>
        </xdr:pic>
        <xdr:clientData/>
      </xdr:twoCellAnchor>
    </mc:Choice>
    <mc:Fallback/>
  </mc:AlternateContent>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nggal" xr10:uid="{63604F5F-6F9D-4887-9680-FB7C54116194}" sourceName="Tanggal">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terangan2" xr10:uid="{2C990E4C-97A8-4C8E-9E0C-86CE668676BD}" sourceName="Keterangan">
  <extLst>
    <x:ext xmlns:x15="http://schemas.microsoft.com/office/spreadsheetml/2010/11/main" uri="{2F2917AC-EB37-4324-AD4E-5DD8C200BD13}">
      <x15:tableSlicerCache tableId="6" column="9"/>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nggal1" xr10:uid="{6E8E605A-F0ED-4661-AAE1-3877813843A6}" sourceName="Tanggal">
  <extLst>
    <x:ext xmlns:x15="http://schemas.microsoft.com/office/spreadsheetml/2010/11/main" uri="{2F2917AC-EB37-4324-AD4E-5DD8C200BD13}">
      <x15:tableSlicerCache tableId="6"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terangan" xr10:uid="{6C18D403-00CC-44DE-A6BD-5EEA91EB3430}" sourceName="Keterangan">
  <extLst>
    <x:ext xmlns:x15="http://schemas.microsoft.com/office/spreadsheetml/2010/11/main" uri="{2F2917AC-EB37-4324-AD4E-5DD8C200BD13}">
      <x15:tableSlicerCache tableId="1" column="9"/>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terangan1" xr10:uid="{AD5900C4-4440-4935-B100-44907C5F0637}" sourceName="Keterangan">
  <extLst>
    <x:ext xmlns:x15="http://schemas.microsoft.com/office/spreadsheetml/2010/11/main" uri="{2F2917AC-EB37-4324-AD4E-5DD8C200BD13}">
      <x15:tableSlicerCache tableId="9"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nggal" xr10:uid="{94AA03B6-F19D-46BA-BBCB-E0BE1BE8362D}" cache="Slicer_Tanggal" caption="Tanggal" columnCount="7" style="SlicerStyleDark5" rowHeight="257175"/>
  <slicer name="Keterangan" xr10:uid="{5AFEE9F6-8135-4473-8DA8-E4C4DFA44AD1}" cache="Slicer_Keterangan" caption="Keterangan" columnCount="4" style="SlicerStyleDark5"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terangan 2" xr10:uid="{B385FEDC-BC82-4A84-809B-0378CD621DAA}" cache="Slicer_Keterangan2" caption="Keterangan" startItem="10" columnCount="5" style="SlicerStyleDark5" rowHeight="257175"/>
  <slicer name="Tanggal 1" xr10:uid="{BF5C0862-D6DD-4113-956E-AA710E513125}" cache="Slicer_Tanggal1" caption="Tanggal" columnCount="7" style="SlicerStyleDark5"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terangan 1" xr10:uid="{4D299DB1-F87A-41E3-A455-37D36402FBD0}" cache="Slicer_Keterangan1" caption="Akun 2025" columnCount="8" style="SlicerStyleDark5"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A462038-666B-457D-BCA5-D5C24F1F5AED}" name="COA" displayName="COA" ref="B4:E108" totalsRowShown="0" headerRowDxfId="150">
  <tableColumns count="4">
    <tableColumn id="1" xr3:uid="{59CFC12E-10DD-4625-B0B0-B8D333F6AC05}" name="No ">
      <calculatedColumnFormula>IF(C5&lt;&gt;"",B4+1,"")</calculatedColumnFormula>
    </tableColumn>
    <tableColumn id="2" xr3:uid="{95812071-DE00-4E46-B99E-E2134039E657}" name="COA"/>
    <tableColumn id="3" xr3:uid="{262B7D78-D6FE-467B-B586-47BC1751F133}" name="Nama Akun"/>
    <tableColumn id="4" xr3:uid="{10B7ED73-4DB1-418B-B98A-A893A2FC63ED}" name="Account Name" dataDxfId="14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1D75CC15-512A-41F7-A9CE-B5440E9DD7DE}" name="Table34" displayName="Table34" ref="B24:C27" totalsRowShown="0" headerRowDxfId="148">
  <tableColumns count="2">
    <tableColumn id="1" xr3:uid="{31272916-E4FC-4284-8BA1-69C128EA7C3B}" name="Keterangan" dataDxfId="147"/>
    <tableColumn id="2" xr3:uid="{CA6AD64B-8118-47BF-A401-2A0CAD73AB68}" name="Nilai" dataDxfId="146"/>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CD64593-DF4E-4843-B2DC-F46770BC9ED5}" name="Table29" displayName="Table29" ref="B40:D45" totalsRowShown="0" dataDxfId="145">
  <tableColumns count="3">
    <tableColumn id="1" xr3:uid="{F226555D-8D2C-4554-9B93-26558869959D}" name="Tahun" dataDxfId="144"/>
    <tableColumn id="2" xr3:uid="{B96DC2F2-7BAD-40D0-8354-F4F3B441193B}" name="Penyusutan per Tahun" dataDxfId="143" dataCellStyle="Comma [0]"/>
    <tableColumn id="3" xr3:uid="{7C1BA6CE-B1D3-4F0E-BC81-382E0D1283B3}" name="Nilai Buku" dataDxfId="14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A93361A1-0962-4DF8-A4AB-37ABF05372BF}" name="Table2947" displayName="Table2947" ref="F40:H50" totalsRowShown="0" dataDxfId="141">
  <tableColumns count="3">
    <tableColumn id="1" xr3:uid="{DE10BAD1-B932-41EF-A0A9-D44E27AE8F41}" name="Tahun" dataDxfId="140"/>
    <tableColumn id="2" xr3:uid="{81839C58-436C-4749-B68F-C9230243BBD8}" name="Penyusutan per Tahun" dataDxfId="139" dataCellStyle="Comma [0]"/>
    <tableColumn id="3" xr3:uid="{A8F4BBF9-393F-40E4-9870-4D422BB66199}" name="Nilai Buku" dataDxfId="13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383A5FE-270A-42A1-A055-C1A8E1036451}" name="Table8" displayName="Table8" ref="G24:H27" totalsRowShown="0">
  <autoFilter ref="G24:H27" xr:uid="{5383A5FE-270A-42A1-A055-C1A8E1036451}"/>
  <tableColumns count="2">
    <tableColumn id="1" xr3:uid="{6739364E-6A01-4AEC-A09A-48D7E619EEBD}" name="Keterangan " dataDxfId="137"/>
    <tableColumn id="2" xr3:uid="{EAB2CE21-04AA-4FB3-B2E4-5923EE9F8317}" name="Nilai"/>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5F079B7-674D-4EB8-A812-F11ADE2E91B5}" name="Table811" displayName="Table811" ref="J24:K27" totalsRowShown="0">
  <autoFilter ref="J24:K27" xr:uid="{25F079B7-674D-4EB8-A812-F11ADE2E91B5}"/>
  <tableColumns count="2">
    <tableColumn id="1" xr3:uid="{3E2532C4-40AA-4B0C-AE80-315AC633FF60}" name="Keterangan " dataDxfId="136"/>
    <tableColumn id="2" xr3:uid="{E8546D57-6B42-4F91-9F23-2B3662876C66}" name="Nilai"/>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AB9619A-217C-4247-A6DC-EAB22FCA4BE1}" name="Table294712" displayName="Table294712" ref="J40:L49" totalsRowShown="0" dataDxfId="135">
  <tableColumns count="3">
    <tableColumn id="1" xr3:uid="{68447D64-B557-48AE-9C43-BE3F567E8708}" name="Tahun" dataDxfId="134"/>
    <tableColumn id="2" xr3:uid="{BE54F3F7-3B69-495A-A1AC-25DDE27C19E6}" name="Penyusutan per Tahun" dataDxfId="133" dataCellStyle="Comma [0]"/>
    <tableColumn id="3" xr3:uid="{384B4B9F-2091-4C54-91C2-7A51CDE2BA21}" name="Nilai Buku" dataDxfId="13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82BBBEA-0F07-4661-93F5-197C8AA5F92D}" name="Table36" displayName="Table36" ref="B24:E28" totalsRowShown="0" headerRowDxfId="131" dataDxfId="130">
  <tableColumns count="4">
    <tableColumn id="1" xr3:uid="{92FC5674-01A6-433C-9ACF-5C5EA0E50645}" name="Kategori Umur Piutang" dataDxfId="129"/>
    <tableColumn id="2" xr3:uid="{362DB877-1AD5-42D8-AA8E-3B7DD830EF49}" name="Total Piutang" dataDxfId="128" dataCellStyle="Comma [0]"/>
    <tableColumn id="3" xr3:uid="{B8E83030-FD0A-47A2-ADE1-AD6FE3999AB3}" name="Estimasi Tidak Tertagih (%)" dataDxfId="127"/>
    <tableColumn id="4" xr3:uid="{60A24F5C-6DB7-4CD6-A08C-265C39A38160}" name="Estimasi Kerugian" dataDxfId="126" dataCellStyle="Comma [0]">
      <calculatedColumnFormula>Table36[[#This Row],[Total Piutang]]*Table36[[#This Row],[Estimasi Tidak Tertagih (%)]]</calculatedColumnFormula>
    </tableColumn>
  </tableColumns>
  <tableStyleInfo name="TableStyleMedium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E990FC7-EE1F-401E-9A5B-57F44B1F505D}" name="Table35" displayName="Table35" ref="B12:I20" totalsRowShown="0" dataDxfId="125">
  <tableColumns count="8">
    <tableColumn id="1" xr3:uid="{9849388B-8389-4072-8FD5-7748A463571C}" name="Nama Pelanggan" dataDxfId="124">
      <calculatedColumnFormula>Measurements!O8</calculatedColumnFormula>
    </tableColumn>
    <tableColumn id="2" xr3:uid="{C9157C5F-832D-48DD-93E6-23CF6EB98A09}" name="Total Piutang" dataDxfId="123"/>
    <tableColumn id="3" xr3:uid="{7D4AE904-41F0-47DF-B783-CD9117D1EEB9}" name="0–30 hari" dataDxfId="122"/>
    <tableColumn id="4" xr3:uid="{E2747CFD-ACC1-4EA6-848B-77CE48B1559A}" name="31–60 hari" dataDxfId="121"/>
    <tableColumn id="5" xr3:uid="{83F26484-C0A9-4B37-9536-36D0961F5F93}" name="61–90 hari" dataDxfId="120"/>
    <tableColumn id="6" xr3:uid="{DE06A205-A691-49D6-B7FC-2BCFBD35DF5F}" name="91–180 hari" dataDxfId="119"/>
    <tableColumn id="7" xr3:uid="{0EA05ED2-5CFB-4A7A-A0E1-01FC86A7CD09}" name="181–270 hari" dataDxfId="118"/>
    <tableColumn id="8" xr3:uid="{6D00A048-52F9-4802-85CA-A4BA981A819D}" name="271–365 hari" dataDxfId="117"/>
  </tableColumns>
  <tableStyleInfo name="TableStyleMedium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3BB2295-DF5A-453B-99A7-D3575BF8F734}" name="BTK" displayName="BTK" ref="B25:D37" totalsRowShown="0" headerRowDxfId="116">
  <tableColumns count="3">
    <tableColumn id="1" xr3:uid="{E8EE90C8-FB27-47A1-A885-1AD7A5D706CC}" name="Bulan"/>
    <tableColumn id="2" xr3:uid="{F7422D24-74C5-4936-9DDB-2B54D6B8BE61}" name="Jumlah Produksi"/>
    <tableColumn id="3" xr3:uid="{0BBF5F20-E60D-44A6-963C-678CE6171BEE}" name="Biaya BTK" dataDxfId="115">
      <calculatedColumnFormula>$D$24/BTK[[#This Row],[Jumlah Produksi]]</calculatedColumnFormula>
    </tableColumn>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CAED5A0E-57EC-4A42-B8C6-5AA91178BE0E}" name="BTK_45" displayName="BTK_45" ref="F25:H37" totalsRowShown="0" headerRowDxfId="114">
  <tableColumns count="3">
    <tableColumn id="1" xr3:uid="{D6856B14-DE78-4CD1-83A4-3E478ED56317}" name="Bulan"/>
    <tableColumn id="2" xr3:uid="{C236D819-4EEF-4D89-9860-3A1EF4CB56FD}" name="Jumlah Produksi"/>
    <tableColumn id="3" xr3:uid="{25B2C926-CEF9-4296-85BF-F67859697F32}" name="Biaya BTK" dataDxfId="113">
      <calculatedColumnFormula>$D$24/BTK_45[[#This Row],[Jumlah Produksi]]</calculatedColumnFormula>
    </tableColumn>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1322B12-E16C-442A-BF2C-CF004A872CD0}" name="Wesel" displayName="Wesel" ref="K20:P57" totalsRowShown="0" headerRowDxfId="112">
  <tableColumns count="6">
    <tableColumn id="1" xr3:uid="{7604198D-71D1-4EE1-8422-1B738C94A1BF}" name="Bulan" dataDxfId="111"/>
    <tableColumn id="6" xr3:uid="{70132100-30E3-457F-8FF8-857ED10EFF24}" name="Tanggal" dataDxfId="110"/>
    <tableColumn id="2" xr3:uid="{0F2C8B02-01CB-49F0-A260-FDEB8405956D}" name="Angsuran (Rp)"/>
    <tableColumn id="3" xr3:uid="{6361D556-4774-450E-92FF-587AFFB1021D}" name="Bunga (Rp)"/>
    <tableColumn id="4" xr3:uid="{6AECFF9A-DDD6-453A-8A2A-2B12B5412BAD}" name="Pokok (Rp)"/>
    <tableColumn id="5" xr3:uid="{3D562888-0CA0-4BA8-B709-8DF26AC8BCD9}" name="Sisa Hutang (Rp)" dataDxfId="10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F0E1B7F-F32C-4BBB-A839-7F45689F6D7F}" name="Obligasi" displayName="Obligasi" ref="B20:H69" totalsRowShown="0" headerRowDxfId="108" tableBorderDxfId="107">
  <tableColumns count="7">
    <tableColumn id="1" xr3:uid="{8226BC11-2335-4CC7-B111-AF105597C166}" name="Periode" dataDxfId="106"/>
    <tableColumn id="2" xr3:uid="{C71165D9-5441-4B8E-A806-92FD955768F8}" name="Tanggal" dataDxfId="105"/>
    <tableColumn id="3" xr3:uid="{FDADD688-8215-4D65-9238-395B7F4C1B0C}" name="Bunga Dibayar"/>
    <tableColumn id="4" xr3:uid="{79EF9B37-FD51-470D-AB7E-C36CA0747EF2}" name="Beban Bunga"/>
    <tableColumn id="5" xr3:uid="{F7A226F8-D729-41B5-B393-431E1FDF8E5B}" name="Amortisasi Premium (Rp)"/>
    <tableColumn id="6" xr3:uid="{F77082E7-AB3F-4FB7-99E4-98FEB4D59817}" name="Saldo Premium (Rp)"/>
    <tableColumn id="7" xr3:uid="{88C74B54-169B-4DA4-92AE-4960B7DD964A}" name="Saldo Akhir Obligasi (Rp)" dataDxfId="104"/>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58BDD79-C976-4138-B28D-760D0787E291}" name="Obligasi4" displayName="Obligasi4" ref="B85:H122" totalsRowShown="0" headerRowDxfId="103" tableBorderDxfId="102">
  <tableColumns count="7">
    <tableColumn id="1" xr3:uid="{DE6C6CB8-6D24-4E25-ABF9-5C750CC49898}" name="Periode" dataDxfId="101"/>
    <tableColumn id="2" xr3:uid="{ABACC5F6-F1A7-46ED-945F-C06687DA1113}" name="Tanggal" dataDxfId="100"/>
    <tableColumn id="3" xr3:uid="{B5DF24AB-5104-4E9B-9E11-8CF76DCC79B7}" name="Bunga Diterima"/>
    <tableColumn id="4" xr3:uid="{7130AF2A-85BF-4FB2-A70D-90FC7E6C0925}" name="Pendapatan Bunga"/>
    <tableColumn id="5" xr3:uid="{E946A3AE-736F-46DF-B71E-96B1B4EB6958}" name="Amortisasi  Diskon"/>
    <tableColumn id="6" xr3:uid="{1E2623C9-CD14-4B35-8DB0-C870796BC8E7}" name="Saldo Diskon (Rp)"/>
    <tableColumn id="7" xr3:uid="{9F01CDF5-C05D-465A-A9CA-103D2E35520C}" name="Saldo Akhir Obligasi (Rp)" dataDxfId="99"/>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B91F32-B054-4033-B185-DE7E764B58F4}" name="Table2" displayName="Table2" ref="A163:J177" totalsRowShown="0" headerRowDxfId="98" dataDxfId="96" headerRowBorderDxfId="97" tableBorderDxfId="95" totalsRowBorderDxfId="94" dataCellStyle="Comma [0]">
  <tableColumns count="10">
    <tableColumn id="1" xr3:uid="{57F65402-7A4B-478E-ACFE-1C13335E5859}" name="NO" dataDxfId="93"/>
    <tableColumn id="10" xr3:uid="{AA566232-E456-4DA8-8C96-0D9891D2F38E}" name="No2" dataDxfId="92"/>
    <tableColumn id="2" xr3:uid="{E4316482-E6DE-4451-A2EB-7A23462629BD}" name="PERUSAHAAN" dataDxfId="91"/>
    <tableColumn id="3" xr3:uid="{FFBBFB86-BBBD-4406-9356-828CF248358C}" name="KATUN" dataDxfId="90" dataCellStyle="Comma [0]"/>
    <tableColumn id="4" xr3:uid="{E1AEECD3-0DAC-43D1-A3FD-7D7F8ACDFEFB}" name="LINEN" dataDxfId="89" dataCellStyle="Comma [0]"/>
    <tableColumn id="5" xr3:uid="{09044F12-6CA7-4BE0-BABA-BB57645903C3}" name="RAYON" dataDxfId="88" dataCellStyle="Comma [0]"/>
    <tableColumn id="6" xr3:uid="{3C39BFA1-1A91-4752-8980-9BDD2E960142}" name="POLYSTER" dataDxfId="87" dataCellStyle="Comma [0]"/>
    <tableColumn id="7" xr3:uid="{A2309D29-2FD1-4056-9653-9ECD0A6B808C}" name="DENIM" dataDxfId="86" dataCellStyle="Comma [0]"/>
    <tableColumn id="8" xr3:uid="{9EA43DB8-46AA-40FB-9924-241CDBF9EAA5}" name="MORI" dataDxfId="85" dataCellStyle="Comma [0]"/>
    <tableColumn id="9" xr3:uid="{B3D3E16E-FF68-47D9-ADDA-76870A04A1C0}" name="SUTRA" dataDxfId="84" dataCellStyle="Comma [0]"/>
  </tableColumns>
  <tableStyleInfo name="TableStyleLight15"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F7B828-0ED7-4949-9E26-DBFE27BF6808}" name="Penjualan" displayName="Penjualan" ref="AI9:AU156" totalsRowShown="0">
  <tableColumns count="13">
    <tableColumn id="1" xr3:uid="{7657583B-98AC-4420-A709-E16CB75069BB}" name="X"/>
    <tableColumn id="2" xr3:uid="{25F830A5-E0EE-42D2-A741-B7144AA0DC76}" name="KATUN" dataDxfId="83" dataCellStyle="Comma [0]"/>
    <tableColumn id="3" xr3:uid="{C69135EA-E42B-44CE-81AC-31703B9164FB}" name="LINEN" dataDxfId="82" dataCellStyle="Comma [0]"/>
    <tableColumn id="4" xr3:uid="{3FD53974-26BF-458B-B406-148FB916BCBE}" name="RAYON" dataDxfId="81" dataCellStyle="Comma [0]"/>
    <tableColumn id="5" xr3:uid="{55022600-35A9-494B-BE04-40DD748F66FE}" name="POLYSTER" dataDxfId="80" dataCellStyle="Comma [0]"/>
    <tableColumn id="6" xr3:uid="{80385798-986C-4091-A3BC-4E009ECB70BC}" name="DENIM" dataDxfId="79" dataCellStyle="Comma [0]"/>
    <tableColumn id="7" xr3:uid="{7DDA194E-0FA6-4010-B71F-724EED613E62}" name="MORI" dataDxfId="78" dataCellStyle="Comma [0]"/>
    <tableColumn id="8" xr3:uid="{33742E80-D8A9-44C6-A2E4-31A04CFF827F}" name="SUTRA" dataDxfId="77" dataCellStyle="Comma [0]"/>
    <tableColumn id="9" xr3:uid="{E397DF8A-4371-4828-BBD7-88CCC1B19245}" name="JUMLAH"/>
    <tableColumn id="10" xr3:uid="{4C501C2F-C4BC-4EEF-95AE-4C4EEC619356}" name="Pajak 11%" dataDxfId="76"/>
    <tableColumn id="12" xr3:uid="{6622E7DB-F285-45AF-885B-5D585D2C4D9E}" name="Jumlah + Tax" dataDxfId="75"/>
    <tableColumn id="13" xr3:uid="{A8E2AB17-F1A5-4032-BDC9-45992D487F66}" name="Diskon" dataDxfId="74"/>
    <tableColumn id="11" xr3:uid="{8606FF72-07CF-4954-A8AC-060202BA57C7}" name="Neto" dataDxfId="73"/>
  </tableColumns>
  <tableStyleInfo name="TableStyleLight15"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2B1E0923-43C2-4EC1-87E3-60BE4BF785AE}" name="LCNRV" displayName="LCNRV" ref="Z15:AF22" totalsRowShown="0" headerRowDxfId="72" dataDxfId="71">
  <tableColumns count="7">
    <tableColumn id="1" xr3:uid="{DE6CECAE-7282-4ACF-A19C-290F57CE3697}" name="Nama Barang" dataDxfId="70"/>
    <tableColumn id="2" xr3:uid="{D521E787-09A6-4393-89C5-E41270608B42}" name="Jumlah" dataDxfId="69"/>
    <tableColumn id="3" xr3:uid="{F21EFD1B-6CDA-4B7D-92B9-E567343E87DB}" name="Harga Perolehan (Cost)" dataDxfId="68">
      <calculatedColumnFormula>(3815+1000+3000)*(1+10%)</calculatedColumnFormula>
    </tableColumn>
    <tableColumn id="4" xr3:uid="{4EC6E95D-44AD-4FC0-A697-18C97462E90F}" name="Harga Jual" dataDxfId="67"/>
    <tableColumn id="5" xr3:uid="{9759DFD1-46E6-4116-9047-2B4E0795BDD4}" name="Biaya Penjualan" dataDxfId="66"/>
    <tableColumn id="6" xr3:uid="{0281701E-4BDA-4448-94A1-5B5B756624D9}" name="NRV" dataDxfId="65" dataCellStyle="Comma [0]">
      <calculatedColumnFormula>LCNRV[[#This Row],[Harga Jual]]-LCNRV[[#This Row],[Biaya Penjualan]]</calculatedColumnFormula>
    </tableColumn>
    <tableColumn id="7" xr3:uid="{7ED17482-CB43-4658-992F-ADD571081472}" name="LCNRV" dataDxfId="64">
      <calculatedColumnFormula>IFERROR(IF(LCNRV[[#This Row],[Harga Perolehan (Cost)]]&lt;LCNRV[[#This Row],[NRV]],LCNRV[[#This Row],[Harga Perolehan (Cost)]],LCNRV[[#This Row],[NRV]]),"")</calculatedColumnFormula>
    </tableColumn>
  </tableColumns>
  <tableStyleInfo name="TableStyleLight5"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32151BE7-F45D-440C-A107-2239BDACA7F1}" name="PERSEDIAAN" displayName="PERSEDIAAN" ref="B7:X160" totalsRowShown="0" headerRowDxfId="63">
  <tableColumns count="23">
    <tableColumn id="1" xr3:uid="{7D6FE163-B6A0-4E54-8273-429ADAF438D1}" name="TANGGAL"/>
    <tableColumn id="2" xr3:uid="{F34FB740-DB0C-4777-910D-E58A460F07D3}" name="VENDOR"/>
    <tableColumn id="3" xr3:uid="{9E5FE4D1-BEA4-4637-9B15-A81884D5FD0A}" name="KATUN"/>
    <tableColumn id="4" xr3:uid="{DAA30798-3026-4727-857B-0264E49F3C61}" name="LINEN"/>
    <tableColumn id="5" xr3:uid="{49DE9E0D-A5E4-4CD4-A202-CFAFA9E8DF34}" name="RAYON"/>
    <tableColumn id="6" xr3:uid="{E71D7D76-B269-49A2-B6BF-B78E86F4A66D}" name="POLYSTER"/>
    <tableColumn id="7" xr3:uid="{06C13805-7092-4468-826F-27AE693BDD26}" name="DENIM"/>
    <tableColumn id="8" xr3:uid="{6970B6B8-D4D5-4641-B275-2FA95D24B80F}" name="MORI"/>
    <tableColumn id="9" xr3:uid="{438AD39F-EB57-4671-81BC-66FD6CA30172}" name="SUTRA"/>
    <tableColumn id="10" xr3:uid="{3986370F-5776-4C7C-A9B2-EF63BE940CEE}" name="HARGA"/>
    <tableColumn id="11" xr3:uid="{90C9DE91-9E16-44D3-AC2E-B17CF01211D4}" name="JUMLAH"/>
    <tableColumn id="12" xr3:uid="{C86C752E-EE15-4F98-9CEB-61150D829605}" name="TANGGA" dataDxfId="62" dataCellStyle="Comma [0]"/>
    <tableColumn id="13" xr3:uid="{E4C5FB4E-9EC5-49C5-A485-C662B0386613}" name="TANGGAL " dataDxfId="61" dataCellStyle="Comma [0]"/>
    <tableColumn id="14" xr3:uid="{90AD639D-60E3-41C4-9BC2-AD24EADCA552}" name="PENJUAL" dataDxfId="60" dataCellStyle="Comma [0]"/>
    <tableColumn id="15" xr3:uid="{F4563CAC-74AD-4A6E-974F-FB6FA371DBF9}" name="KATUN "/>
    <tableColumn id="16" xr3:uid="{BD904A6E-3F9C-4B1D-A1C5-AC97B0D5D1B6}" name="LINEN " dataDxfId="59"/>
    <tableColumn id="17" xr3:uid="{93FABD94-7F7B-476C-9EB5-FECEC5994B5F}" name="RAYON "/>
    <tableColumn id="18" xr3:uid="{5AD9650F-752B-4E58-99A3-F851B659A480}" name="POLYSTER "/>
    <tableColumn id="19" xr3:uid="{49EED007-2975-46B0-A1D6-4AA8CDC65B7C}" name="DENIM "/>
    <tableColumn id="20" xr3:uid="{1159E373-40B2-4BBC-B322-CEF203BBF36E}" name="MORI "/>
    <tableColumn id="21" xr3:uid="{DFA2EDCF-67BC-469E-AC88-62E1D3907C51}" name="SUTRA "/>
    <tableColumn id="22" xr3:uid="{359EB79D-BE08-4061-86D7-8C677CEE8314}" name="HARGA " dataDxfId="58" dataCellStyle="Comma [0]"/>
    <tableColumn id="23" xr3:uid="{95ACFC0A-B837-439E-A4C7-5BE13C7D2F64}" name="JUMLAH " dataDxfId="57" dataCellStyle="Comma [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B195C9-BC21-434E-9A91-D2C777C6CC93}" name="Transaksi" displayName="Transaksi" ref="B7:F161" totalsRowShown="0" headerRowDxfId="56" dataDxfId="55" headerRowCellStyle="Comma [0]" dataCellStyle="Comma [0]">
  <autoFilter ref="B7:F161" xr:uid="{C7B195C9-BC21-434E-9A91-D2C777C6CC93}"/>
  <tableColumns count="5">
    <tableColumn id="1" xr3:uid="{5F9BCA0B-E9A8-4127-B99E-A98B1888193B}" name="Tanggal" dataDxfId="54" dataCellStyle="Comma [0]"/>
    <tableColumn id="9" xr3:uid="{71C1A968-4900-4EFA-91AC-4CD4E3169A0B}" name="Keterangan" dataDxfId="53" dataCellStyle="Comma [0]"/>
    <tableColumn id="2" xr3:uid="{2B1C6537-644B-4EE1-B5D4-95F708C5FD5D}" name="Ref" dataDxfId="52" dataCellStyle="Comma [0]">
      <calculatedColumnFormula>IFERROR(_xlfn.XLOOKUP(Transaksi[[#This Row],[Keterangan]],COA[Nama Akun],COA[COA]),"")</calculatedColumnFormula>
    </tableColumn>
    <tableColumn id="7" xr3:uid="{DFC93A05-8791-4346-B614-F557EE1E528D}" name="Debit" dataDxfId="51" dataCellStyle="Comma [0]"/>
    <tableColumn id="4" xr3:uid="{DB47E760-35A7-49E9-898C-DF0EE7B1B524}" name="Kredit" dataDxfId="50" dataCellStyle="Comma [0]"/>
  </tableColumns>
  <tableStyleInfo name="TableStyleMedium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1CB14A-E3EF-4C5D-B656-FE8125D34069}" name="Transaksi2026" displayName="Transaksi2026" ref="B7:F190" totalsRowShown="0" headerRowDxfId="49" dataDxfId="48" headerRowCellStyle="Comma [0]" dataCellStyle="Comma [0]">
  <autoFilter ref="B7:F190" xr:uid="{C7B195C9-BC21-434E-9A91-D2C777C6CC93}"/>
  <tableColumns count="5">
    <tableColumn id="1" xr3:uid="{6D093271-44E7-45FC-93DC-7B936DDD08B7}" name="Tanggal" dataDxfId="47" dataCellStyle="Comma [0]"/>
    <tableColumn id="9" xr3:uid="{C29E4B18-3816-48B1-837F-31731B2B2CE3}" name="Keterangan" dataDxfId="46" dataCellStyle="Comma [0]"/>
    <tableColumn id="2" xr3:uid="{71B67219-AD71-49DD-8A02-C63E004BD1C3}" name="Ref" dataDxfId="45" dataCellStyle="Comma [0]">
      <calculatedColumnFormula>IFERROR(_xlfn.XLOOKUP(Transaksi2026[[#This Row],[Keterangan]],COA[Nama Akun],COA[COA]),"")</calculatedColumnFormula>
    </tableColumn>
    <tableColumn id="7" xr3:uid="{AE635F67-9861-4A92-849E-BA853B1397B2}" name="Debit" dataDxfId="44" dataCellStyle="Comma [0]"/>
    <tableColumn id="4" xr3:uid="{9EB56FC1-3344-40C8-B7E0-E53E699D59F9}" name="Kredit" dataDxfId="43" dataCellStyle="Comma [0]"/>
  </tableColumns>
  <tableStyleInfo name="TableStyleMedium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92092A5-669D-4FC3-95F5-625901932EBC}" name="Table9" displayName="Table9" ref="A16:E170" totalsRowShown="0" headerRowDxfId="42" headerRowBorderDxfId="41" tableBorderDxfId="40" totalsRowBorderDxfId="39">
  <autoFilter ref="A16:E170" xr:uid="{192092A5-669D-4FC3-95F5-625901932EBC}"/>
  <tableColumns count="5">
    <tableColumn id="1" xr3:uid="{2FBA3DE6-2CC3-486D-903B-68F153FCD03E}" name="Tanggal" dataDxfId="38"/>
    <tableColumn id="2" xr3:uid="{2CE336D8-18A0-40FF-B6B2-E3416BAF82EE}" name="Keterangan" dataDxfId="37"/>
    <tableColumn id="3" xr3:uid="{DD2CEB0E-3357-40BD-8B97-12001B5965F2}" name="Ref" dataDxfId="36"/>
    <tableColumn id="4" xr3:uid="{41707486-494D-4018-9A07-27C81269DDAA}" name="Debit" dataDxfId="35" dataCellStyle="Comma [0]"/>
    <tableColumn id="5" xr3:uid="{FB6DDE4D-7F0A-4684-BF5A-E647B80295A7}" name="Kredit" dataDxfId="34" dataCellStyle="Comma [0]"/>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B5A9B765-1346-497E-9AE3-2F3AF174189A}" name="Table30" displayName="Table30" ref="A5:F36" totalsRowShown="0" headerRowDxfId="33">
  <tableColumns count="6">
    <tableColumn id="1" xr3:uid="{932C2434-EBB5-4DF0-913A-EB67890F793A}" name="Tanggal " dataDxfId="32"/>
    <tableColumn id="7" xr3:uid="{8C8DC38F-B2FA-43F4-9F34-A1B82C2DC2D8}" name="Kode Akun" dataDxfId="31">
      <calculatedColumnFormula>_xlfn.XLOOKUP(Table30[[#This Row],[Keterangan]],COA[Nama Akun],COA[COA])</calculatedColumnFormula>
    </tableColumn>
    <tableColumn id="2" xr3:uid="{DAA92BBC-868A-497B-B332-0F6844861907}" name="Keterangan"/>
    <tableColumn id="4" xr3:uid="{FD46C183-7FC9-43E0-92E5-A57DA7DE7DFF}" name="Ref."/>
    <tableColumn id="5" xr3:uid="{802BB59C-1BDD-4242-8B7D-A01749271EC7}" name="Debet" dataDxfId="30"/>
    <tableColumn id="6" xr3:uid="{CED1BB42-4B11-45C3-A783-1ECF0103109F}" name="Kredit" dataDxfId="29"/>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9.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5.xml"/><Relationship Id="rId1" Type="http://schemas.openxmlformats.org/officeDocument/2006/relationships/printerSettings" Target="../printerSettings/printerSettings7.bin"/><Relationship Id="rId5" Type="http://schemas.openxmlformats.org/officeDocument/2006/relationships/table" Target="../tables/table14.xml"/><Relationship Id="rId4"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6.xml"/><Relationship Id="rId1" Type="http://schemas.openxmlformats.org/officeDocument/2006/relationships/printerSettings" Target="../printerSettings/printerSettings8.bin"/><Relationship Id="rId6" Type="http://schemas.openxmlformats.org/officeDocument/2006/relationships/table" Target="../tables/table18.xml"/><Relationship Id="rId5" Type="http://schemas.openxmlformats.org/officeDocument/2006/relationships/table" Target="../tables/table17.xml"/><Relationship Id="rId4" Type="http://schemas.openxmlformats.org/officeDocument/2006/relationships/table" Target="../tables/table16.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7.xml"/><Relationship Id="rId1" Type="http://schemas.openxmlformats.org/officeDocument/2006/relationships/printerSettings" Target="../printerSettings/printerSettings9.bin"/><Relationship Id="rId4" Type="http://schemas.microsoft.com/office/2007/relationships/slicer" Target="../slicers/slicer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8.xml"/><Relationship Id="rId1" Type="http://schemas.openxmlformats.org/officeDocument/2006/relationships/printerSettings" Target="../printerSettings/printerSettings10.bin"/><Relationship Id="rId4" Type="http://schemas.microsoft.com/office/2007/relationships/slicer" Target="../slicers/slicer2.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drawing" Target="../drawings/drawing9.xml"/><Relationship Id="rId1" Type="http://schemas.openxmlformats.org/officeDocument/2006/relationships/printerSettings" Target="../printerSettings/printerSettings11.bin"/><Relationship Id="rId4" Type="http://schemas.microsoft.com/office/2007/relationships/slicer" Target="../slicers/slicer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1218D-C6D7-44D5-8C1E-55DBB37C97AE}">
  <sheetPr codeName="Sheet1">
    <tabColor theme="9"/>
  </sheetPr>
  <dimension ref="F4:N30"/>
  <sheetViews>
    <sheetView showGridLines="0" showRowColHeaders="0" tabSelected="1" workbookViewId="0">
      <selection activeCell="S17" sqref="S17"/>
    </sheetView>
  </sheetViews>
  <sheetFormatPr defaultRowHeight="15"/>
  <cols>
    <col min="1" max="16384" width="9.140625" style="6"/>
  </cols>
  <sheetData>
    <row r="4" spans="6:14">
      <c r="F4" s="5"/>
      <c r="G4" s="5"/>
      <c r="H4" s="5"/>
      <c r="I4" s="5"/>
      <c r="J4" s="5"/>
      <c r="K4" s="5"/>
      <c r="L4" s="5"/>
      <c r="M4" s="5"/>
      <c r="N4" s="5"/>
    </row>
    <row r="5" spans="6:14">
      <c r="F5" s="5"/>
      <c r="G5" s="5"/>
      <c r="H5" s="5"/>
      <c r="I5" s="5"/>
      <c r="J5" s="5"/>
      <c r="K5" s="5"/>
      <c r="L5" s="5"/>
      <c r="M5" s="5"/>
      <c r="N5" s="5"/>
    </row>
    <row r="6" spans="6:14">
      <c r="F6" s="5"/>
      <c r="G6" s="5"/>
      <c r="H6" s="5"/>
      <c r="I6" s="5"/>
      <c r="J6" s="5"/>
      <c r="K6" s="5"/>
      <c r="L6" s="5"/>
      <c r="M6" s="5"/>
      <c r="N6" s="5"/>
    </row>
    <row r="7" spans="6:14">
      <c r="F7" s="5"/>
      <c r="G7" s="5"/>
      <c r="H7" s="5"/>
      <c r="I7" s="5"/>
      <c r="J7" s="5"/>
      <c r="K7" s="5"/>
      <c r="L7" s="5"/>
      <c r="M7" s="5"/>
      <c r="N7" s="5"/>
    </row>
    <row r="8" spans="6:14">
      <c r="F8" s="5"/>
      <c r="G8" s="5"/>
      <c r="H8" s="5"/>
      <c r="I8" s="5"/>
      <c r="J8" s="5"/>
      <c r="K8" s="5"/>
      <c r="L8" s="5"/>
      <c r="M8" s="5"/>
      <c r="N8" s="5"/>
    </row>
    <row r="9" spans="6:14">
      <c r="F9" s="5"/>
      <c r="G9" s="5"/>
      <c r="H9" s="5"/>
      <c r="I9" s="5"/>
      <c r="J9" s="5"/>
      <c r="K9" s="5"/>
      <c r="L9" s="5"/>
      <c r="M9" s="5"/>
      <c r="N9" s="5"/>
    </row>
    <row r="10" spans="6:14">
      <c r="F10" s="5"/>
      <c r="G10" s="5"/>
      <c r="H10" s="5"/>
      <c r="I10" s="5"/>
      <c r="J10" s="5"/>
      <c r="K10" s="5"/>
      <c r="L10" s="5"/>
      <c r="M10" s="5"/>
      <c r="N10" s="5"/>
    </row>
    <row r="11" spans="6:14">
      <c r="F11" s="5"/>
      <c r="G11" s="5"/>
      <c r="H11" s="5"/>
      <c r="I11" s="5"/>
      <c r="J11" s="5"/>
      <c r="K11" s="5"/>
      <c r="L11" s="5"/>
      <c r="M11" s="5"/>
      <c r="N11" s="5"/>
    </row>
    <row r="12" spans="6:14">
      <c r="F12" s="5"/>
      <c r="G12" s="5"/>
      <c r="H12" s="5"/>
      <c r="I12" s="5"/>
      <c r="J12" s="5"/>
      <c r="K12" s="5"/>
      <c r="L12" s="5"/>
      <c r="M12" s="5"/>
      <c r="N12" s="5"/>
    </row>
    <row r="13" spans="6:14">
      <c r="F13" s="5"/>
      <c r="G13" s="5"/>
      <c r="H13" s="5"/>
      <c r="I13" s="5"/>
      <c r="J13" s="5"/>
      <c r="K13" s="5"/>
      <c r="L13" s="5"/>
      <c r="M13" s="5"/>
      <c r="N13" s="5"/>
    </row>
    <row r="14" spans="6:14">
      <c r="F14" s="5"/>
      <c r="G14" s="5"/>
      <c r="H14" s="5"/>
      <c r="I14" s="5"/>
      <c r="J14" s="5"/>
      <c r="K14" s="5"/>
      <c r="L14" s="5"/>
      <c r="M14" s="5"/>
      <c r="N14" s="5"/>
    </row>
    <row r="15" spans="6:14">
      <c r="F15" s="5"/>
      <c r="G15" s="5"/>
      <c r="H15" s="5"/>
      <c r="I15" s="5"/>
      <c r="J15" s="5"/>
      <c r="K15" s="5"/>
      <c r="L15" s="5"/>
      <c r="M15" s="5"/>
      <c r="N15" s="5"/>
    </row>
    <row r="16" spans="6:14">
      <c r="F16" s="5"/>
      <c r="G16" s="5"/>
      <c r="H16" s="5"/>
      <c r="I16" s="5"/>
      <c r="J16" s="5"/>
      <c r="K16" s="5"/>
      <c r="L16" s="5"/>
      <c r="M16" s="5"/>
      <c r="N16" s="5"/>
    </row>
    <row r="17" spans="6:14">
      <c r="F17" s="5"/>
      <c r="G17" s="5"/>
      <c r="H17" s="5"/>
      <c r="I17" s="5"/>
      <c r="J17" s="5"/>
      <c r="K17" s="5"/>
      <c r="L17" s="5"/>
      <c r="M17" s="5"/>
      <c r="N17" s="5"/>
    </row>
    <row r="18" spans="6:14">
      <c r="F18" s="5"/>
      <c r="G18" s="5"/>
      <c r="H18" s="5"/>
      <c r="I18" s="5"/>
      <c r="J18" s="5"/>
      <c r="K18" s="5"/>
      <c r="L18" s="5"/>
      <c r="M18" s="5"/>
      <c r="N18" s="5"/>
    </row>
    <row r="19" spans="6:14">
      <c r="F19" s="5"/>
      <c r="G19" s="5"/>
      <c r="H19" s="5"/>
      <c r="I19" s="5"/>
      <c r="J19" s="5"/>
      <c r="K19" s="5"/>
      <c r="L19" s="5"/>
      <c r="M19" s="5"/>
      <c r="N19" s="5"/>
    </row>
    <row r="20" spans="6:14">
      <c r="F20" s="5"/>
      <c r="G20" s="5"/>
      <c r="H20" s="5"/>
      <c r="I20" s="5"/>
      <c r="J20" s="5"/>
      <c r="K20" s="5"/>
      <c r="L20" s="5"/>
      <c r="M20" s="5"/>
      <c r="N20" s="5"/>
    </row>
    <row r="21" spans="6:14">
      <c r="F21" s="5"/>
      <c r="G21" s="5"/>
      <c r="H21" s="5"/>
      <c r="I21" s="5"/>
      <c r="J21" s="5"/>
      <c r="K21" s="5"/>
      <c r="L21" s="5"/>
      <c r="M21" s="5"/>
      <c r="N21" s="5"/>
    </row>
    <row r="22" spans="6:14">
      <c r="F22" s="5"/>
      <c r="G22" s="5"/>
      <c r="H22" s="5"/>
      <c r="I22" s="5"/>
      <c r="J22" s="5"/>
      <c r="K22" s="5"/>
      <c r="L22" s="5"/>
      <c r="M22" s="5"/>
      <c r="N22" s="5"/>
    </row>
    <row r="23" spans="6:14">
      <c r="F23" s="5"/>
      <c r="G23" s="5"/>
      <c r="H23" s="5"/>
      <c r="I23" s="5"/>
      <c r="J23" s="5"/>
      <c r="K23" s="5"/>
      <c r="L23" s="5"/>
      <c r="M23" s="5"/>
      <c r="N23" s="5"/>
    </row>
    <row r="24" spans="6:14">
      <c r="F24" s="5"/>
      <c r="G24" s="5"/>
      <c r="H24" s="5"/>
      <c r="I24" s="5"/>
      <c r="J24" s="5"/>
      <c r="K24" s="5"/>
      <c r="L24" s="5"/>
      <c r="M24" s="5"/>
      <c r="N24" s="5"/>
    </row>
    <row r="25" spans="6:14">
      <c r="F25" s="5"/>
      <c r="G25" s="5"/>
      <c r="H25" s="5"/>
      <c r="I25" s="5"/>
      <c r="J25" s="5"/>
      <c r="K25" s="5"/>
      <c r="L25" s="5"/>
      <c r="M25" s="5"/>
      <c r="N25" s="5"/>
    </row>
    <row r="26" spans="6:14">
      <c r="F26" s="5"/>
      <c r="G26" s="5"/>
      <c r="H26" s="5"/>
      <c r="I26" s="5"/>
      <c r="J26" s="5"/>
      <c r="K26" s="5"/>
      <c r="L26" s="5"/>
      <c r="M26" s="5"/>
      <c r="N26" s="5"/>
    </row>
    <row r="27" spans="6:14">
      <c r="F27" s="5"/>
      <c r="G27" s="5"/>
      <c r="H27" s="5"/>
      <c r="I27" s="5"/>
      <c r="J27" s="5"/>
      <c r="K27" s="5"/>
      <c r="L27" s="5"/>
      <c r="M27" s="5"/>
      <c r="N27" s="5"/>
    </row>
    <row r="28" spans="6:14">
      <c r="F28" s="5"/>
      <c r="G28" s="5"/>
      <c r="H28" s="5"/>
      <c r="I28" s="5"/>
      <c r="J28" s="5"/>
      <c r="K28" s="5"/>
      <c r="L28" s="5"/>
      <c r="M28" s="5"/>
      <c r="N28" s="5"/>
    </row>
    <row r="29" spans="6:14">
      <c r="F29" s="5"/>
      <c r="G29" s="5"/>
      <c r="H29" s="5"/>
      <c r="I29" s="5"/>
      <c r="J29" s="5"/>
      <c r="K29" s="5"/>
      <c r="L29" s="5"/>
      <c r="M29" s="5"/>
      <c r="N29" s="5"/>
    </row>
    <row r="30" spans="6:14">
      <c r="F30" s="5"/>
      <c r="G30" s="5"/>
      <c r="H30" s="5"/>
      <c r="I30" s="5"/>
      <c r="J30" s="5"/>
      <c r="K30" s="5"/>
      <c r="L30" s="5"/>
      <c r="M30" s="5"/>
      <c r="N30" s="5"/>
    </row>
  </sheetData>
  <sheetProtection insertColumns="0" insertRows="0" insertHyperlinks="0" deleteColumns="0" deleteRows="0" sort="0" autoFilter="0" pivotTables="0"/>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D199-FF24-4E04-AD6D-E3E1815F7D84}">
  <sheetPr codeName="Sheet2"/>
  <dimension ref="B2:B9"/>
  <sheetViews>
    <sheetView showGridLines="0" showRowColHeaders="0" workbookViewId="0">
      <selection activeCell="B5" sqref="B5"/>
    </sheetView>
  </sheetViews>
  <sheetFormatPr defaultRowHeight="15"/>
  <cols>
    <col min="2" max="2" width="74.7109375" customWidth="1"/>
  </cols>
  <sheetData>
    <row r="2" spans="2:2" ht="32.25">
      <c r="B2" s="38" t="s">
        <v>43</v>
      </c>
    </row>
    <row r="5" spans="2:2" ht="105">
      <c r="B5" s="22" t="s">
        <v>40</v>
      </c>
    </row>
    <row r="7" spans="2:2" ht="90">
      <c r="B7" s="22" t="s">
        <v>41</v>
      </c>
    </row>
    <row r="9" spans="2:2" ht="90">
      <c r="B9" s="22" t="s">
        <v>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199C7-5337-4D71-AA93-0D1492854B19}">
  <sheetPr codeName="Sheet4"/>
  <dimension ref="B2:E108"/>
  <sheetViews>
    <sheetView showGridLines="0" showRowColHeaders="0" workbookViewId="0">
      <selection activeCell="C1" sqref="C1"/>
    </sheetView>
  </sheetViews>
  <sheetFormatPr defaultRowHeight="15"/>
  <cols>
    <col min="2" max="2" width="4" bestFit="1" customWidth="1"/>
    <col min="3" max="3" width="12.28515625" bestFit="1" customWidth="1"/>
    <col min="4" max="4" width="32.140625" bestFit="1" customWidth="1"/>
    <col min="5" max="5" width="39" bestFit="1" customWidth="1"/>
    <col min="7" max="7" width="13.140625" customWidth="1"/>
    <col min="8" max="8" width="16.5703125" customWidth="1"/>
  </cols>
  <sheetData>
    <row r="2" spans="2:5" ht="23.25">
      <c r="B2" s="15" t="s">
        <v>39</v>
      </c>
      <c r="C2" s="16"/>
      <c r="D2" s="16"/>
      <c r="E2" s="17"/>
    </row>
    <row r="4" spans="2:5">
      <c r="B4" s="11" t="s">
        <v>2</v>
      </c>
      <c r="C4" s="12" t="s">
        <v>38</v>
      </c>
      <c r="D4" s="13" t="s">
        <v>3</v>
      </c>
      <c r="E4" s="14" t="s">
        <v>37</v>
      </c>
    </row>
    <row r="5" spans="2:5">
      <c r="B5">
        <v>1</v>
      </c>
      <c r="C5">
        <v>1101</v>
      </c>
      <c r="D5" t="s">
        <v>187</v>
      </c>
      <c r="E5" s="18" t="s">
        <v>18</v>
      </c>
    </row>
    <row r="6" spans="2:5">
      <c r="B6">
        <f>IF(C6&lt;&gt;"",B5+1,"")</f>
        <v>2</v>
      </c>
      <c r="C6">
        <v>1101</v>
      </c>
      <c r="D6" t="s">
        <v>398</v>
      </c>
      <c r="E6" s="18" t="s">
        <v>18</v>
      </c>
    </row>
    <row r="7" spans="2:5">
      <c r="B7">
        <f t="shared" ref="B7:B86" si="0">IF(C7&lt;&gt;"",B6+1,"")</f>
        <v>3</v>
      </c>
      <c r="C7">
        <v>1102</v>
      </c>
      <c r="D7" t="s">
        <v>1</v>
      </c>
      <c r="E7" s="18" t="s">
        <v>5</v>
      </c>
    </row>
    <row r="8" spans="2:5">
      <c r="B8">
        <f t="shared" si="0"/>
        <v>4</v>
      </c>
      <c r="C8">
        <v>1102</v>
      </c>
      <c r="D8" t="s">
        <v>399</v>
      </c>
      <c r="E8" s="18" t="s">
        <v>5</v>
      </c>
    </row>
    <row r="9" spans="2:5">
      <c r="B9">
        <f t="shared" si="0"/>
        <v>5</v>
      </c>
      <c r="C9">
        <v>1103</v>
      </c>
      <c r="D9" t="s">
        <v>183</v>
      </c>
      <c r="E9" s="18" t="s">
        <v>19</v>
      </c>
    </row>
    <row r="10" spans="2:5">
      <c r="B10">
        <f t="shared" si="0"/>
        <v>6</v>
      </c>
      <c r="C10">
        <v>1103</v>
      </c>
      <c r="D10" t="s">
        <v>425</v>
      </c>
      <c r="E10" s="18" t="s">
        <v>19</v>
      </c>
    </row>
    <row r="11" spans="2:5">
      <c r="B11">
        <f t="shared" si="0"/>
        <v>7</v>
      </c>
      <c r="C11">
        <v>1104</v>
      </c>
      <c r="D11" t="s">
        <v>184</v>
      </c>
      <c r="E11" s="18" t="s">
        <v>20</v>
      </c>
    </row>
    <row r="12" spans="2:5">
      <c r="B12">
        <f t="shared" si="0"/>
        <v>8</v>
      </c>
      <c r="C12">
        <v>1104</v>
      </c>
      <c r="D12" t="s">
        <v>424</v>
      </c>
      <c r="E12" s="18" t="s">
        <v>20</v>
      </c>
    </row>
    <row r="13" spans="2:5">
      <c r="B13">
        <f t="shared" si="0"/>
        <v>9</v>
      </c>
      <c r="C13">
        <v>1105</v>
      </c>
      <c r="D13" t="s">
        <v>185</v>
      </c>
      <c r="E13" s="18" t="s">
        <v>21</v>
      </c>
    </row>
    <row r="14" spans="2:5">
      <c r="B14">
        <f t="shared" si="0"/>
        <v>10</v>
      </c>
      <c r="C14">
        <v>1105</v>
      </c>
      <c r="D14" t="s">
        <v>423</v>
      </c>
      <c r="E14" s="18" t="s">
        <v>21</v>
      </c>
    </row>
    <row r="15" spans="2:5">
      <c r="B15">
        <f t="shared" si="0"/>
        <v>11</v>
      </c>
      <c r="C15">
        <v>1106</v>
      </c>
      <c r="D15" t="s">
        <v>122</v>
      </c>
      <c r="E15" s="18" t="s">
        <v>124</v>
      </c>
    </row>
    <row r="16" spans="2:5">
      <c r="B16">
        <f t="shared" si="0"/>
        <v>12</v>
      </c>
      <c r="C16">
        <v>1106</v>
      </c>
      <c r="D16" t="s">
        <v>123</v>
      </c>
      <c r="E16" s="18" t="s">
        <v>124</v>
      </c>
    </row>
    <row r="17" spans="2:5">
      <c r="B17">
        <f t="shared" si="0"/>
        <v>13</v>
      </c>
      <c r="C17">
        <v>1107</v>
      </c>
      <c r="D17" t="s">
        <v>413</v>
      </c>
      <c r="E17" s="18" t="s">
        <v>22</v>
      </c>
    </row>
    <row r="18" spans="2:5">
      <c r="B18">
        <f t="shared" si="0"/>
        <v>14</v>
      </c>
      <c r="C18">
        <v>1107</v>
      </c>
      <c r="D18" t="s">
        <v>188</v>
      </c>
      <c r="E18" s="18" t="s">
        <v>22</v>
      </c>
    </row>
    <row r="19" spans="2:5">
      <c r="B19">
        <f t="shared" si="0"/>
        <v>15</v>
      </c>
      <c r="C19">
        <v>1108</v>
      </c>
      <c r="D19" t="s">
        <v>452</v>
      </c>
      <c r="E19" s="18" t="s">
        <v>466</v>
      </c>
    </row>
    <row r="20" spans="2:5">
      <c r="B20">
        <f t="shared" si="0"/>
        <v>16</v>
      </c>
      <c r="C20">
        <v>1108</v>
      </c>
      <c r="D20" t="s">
        <v>453</v>
      </c>
      <c r="E20" s="18" t="s">
        <v>466</v>
      </c>
    </row>
    <row r="21" spans="2:5">
      <c r="B21">
        <f t="shared" si="0"/>
        <v>17</v>
      </c>
      <c r="C21">
        <v>1109</v>
      </c>
      <c r="D21" t="s">
        <v>69</v>
      </c>
      <c r="E21" s="18" t="s">
        <v>22</v>
      </c>
    </row>
    <row r="22" spans="2:5">
      <c r="B22">
        <f t="shared" si="0"/>
        <v>18</v>
      </c>
      <c r="C22">
        <v>1109</v>
      </c>
      <c r="D22" t="s">
        <v>426</v>
      </c>
      <c r="E22" s="18" t="s">
        <v>22</v>
      </c>
    </row>
    <row r="23" spans="2:5">
      <c r="B23">
        <f t="shared" si="0"/>
        <v>19</v>
      </c>
      <c r="C23">
        <v>1110</v>
      </c>
      <c r="D23" t="s">
        <v>451</v>
      </c>
      <c r="E23" s="18" t="s">
        <v>465</v>
      </c>
    </row>
    <row r="24" spans="2:5">
      <c r="B24">
        <f t="shared" si="0"/>
        <v>20</v>
      </c>
      <c r="C24">
        <v>1110</v>
      </c>
      <c r="D24" t="s">
        <v>450</v>
      </c>
      <c r="E24" s="18" t="s">
        <v>465</v>
      </c>
    </row>
    <row r="25" spans="2:5">
      <c r="B25">
        <f t="shared" si="0"/>
        <v>21</v>
      </c>
      <c r="C25">
        <v>1111</v>
      </c>
      <c r="D25" t="s">
        <v>404</v>
      </c>
      <c r="E25" s="18" t="s">
        <v>406</v>
      </c>
    </row>
    <row r="26" spans="2:5">
      <c r="B26">
        <f t="shared" si="0"/>
        <v>22</v>
      </c>
      <c r="C26">
        <v>1111</v>
      </c>
      <c r="D26" t="s">
        <v>405</v>
      </c>
      <c r="E26" s="18" t="s">
        <v>406</v>
      </c>
    </row>
    <row r="27" spans="2:5">
      <c r="B27">
        <f t="shared" si="0"/>
        <v>23</v>
      </c>
      <c r="C27">
        <v>1112</v>
      </c>
      <c r="D27" t="s">
        <v>410</v>
      </c>
      <c r="E27" s="18" t="s">
        <v>412</v>
      </c>
    </row>
    <row r="28" spans="2:5">
      <c r="B28">
        <f t="shared" si="0"/>
        <v>24</v>
      </c>
      <c r="C28">
        <v>1112</v>
      </c>
      <c r="D28" t="s">
        <v>411</v>
      </c>
      <c r="E28" s="18" t="s">
        <v>412</v>
      </c>
    </row>
    <row r="29" spans="2:5">
      <c r="B29">
        <f t="shared" si="0"/>
        <v>25</v>
      </c>
      <c r="C29">
        <v>1113</v>
      </c>
      <c r="D29" t="s">
        <v>454</v>
      </c>
      <c r="E29" s="18" t="s">
        <v>464</v>
      </c>
    </row>
    <row r="30" spans="2:5">
      <c r="B30">
        <f t="shared" si="0"/>
        <v>26</v>
      </c>
      <c r="C30">
        <v>1113</v>
      </c>
      <c r="D30" t="s">
        <v>455</v>
      </c>
      <c r="E30" s="18" t="s">
        <v>464</v>
      </c>
    </row>
    <row r="31" spans="2:5">
      <c r="B31">
        <f t="shared" si="0"/>
        <v>27</v>
      </c>
      <c r="C31">
        <v>1114</v>
      </c>
      <c r="D31" t="s">
        <v>150</v>
      </c>
      <c r="E31" s="18" t="s">
        <v>468</v>
      </c>
    </row>
    <row r="32" spans="2:5">
      <c r="B32">
        <f t="shared" si="0"/>
        <v>28</v>
      </c>
      <c r="C32">
        <v>1114</v>
      </c>
      <c r="D32" t="s">
        <v>328</v>
      </c>
      <c r="E32" s="18" t="s">
        <v>468</v>
      </c>
    </row>
    <row r="33" spans="2:5">
      <c r="B33">
        <f t="shared" si="0"/>
        <v>29</v>
      </c>
      <c r="C33">
        <v>1115</v>
      </c>
      <c r="D33" t="s">
        <v>490</v>
      </c>
      <c r="E33" s="18" t="s">
        <v>492</v>
      </c>
    </row>
    <row r="34" spans="2:5">
      <c r="B34">
        <f t="shared" si="0"/>
        <v>30</v>
      </c>
      <c r="C34">
        <v>1115</v>
      </c>
      <c r="D34" t="s">
        <v>491</v>
      </c>
      <c r="E34" s="18" t="s">
        <v>492</v>
      </c>
    </row>
    <row r="35" spans="2:5">
      <c r="B35">
        <f t="shared" si="0"/>
        <v>31</v>
      </c>
      <c r="C35">
        <v>1116</v>
      </c>
      <c r="D35" t="s">
        <v>500</v>
      </c>
      <c r="E35" s="18" t="s">
        <v>502</v>
      </c>
    </row>
    <row r="36" spans="2:5">
      <c r="B36">
        <f t="shared" si="0"/>
        <v>32</v>
      </c>
      <c r="C36">
        <v>1116</v>
      </c>
      <c r="D36" t="s">
        <v>501</v>
      </c>
      <c r="E36" s="18" t="s">
        <v>502</v>
      </c>
    </row>
    <row r="37" spans="2:5">
      <c r="B37">
        <f t="shared" si="0"/>
        <v>33</v>
      </c>
      <c r="C37">
        <v>1117</v>
      </c>
      <c r="D37" t="s">
        <v>508</v>
      </c>
      <c r="E37" s="18" t="s">
        <v>513</v>
      </c>
    </row>
    <row r="38" spans="2:5">
      <c r="B38">
        <f t="shared" si="0"/>
        <v>34</v>
      </c>
      <c r="C38">
        <v>1117</v>
      </c>
      <c r="D38" t="s">
        <v>509</v>
      </c>
      <c r="E38" s="18" t="s">
        <v>513</v>
      </c>
    </row>
    <row r="39" spans="2:5">
      <c r="B39">
        <f t="shared" si="0"/>
        <v>35</v>
      </c>
      <c r="C39">
        <v>2101</v>
      </c>
      <c r="D39" t="s">
        <v>195</v>
      </c>
      <c r="E39" s="18" t="s">
        <v>23</v>
      </c>
    </row>
    <row r="40" spans="2:5">
      <c r="B40">
        <f t="shared" si="0"/>
        <v>36</v>
      </c>
      <c r="C40">
        <v>2101</v>
      </c>
      <c r="D40" t="s">
        <v>427</v>
      </c>
      <c r="E40" s="18" t="s">
        <v>23</v>
      </c>
    </row>
    <row r="41" spans="2:5">
      <c r="B41">
        <f t="shared" si="0"/>
        <v>37</v>
      </c>
      <c r="C41">
        <v>2102</v>
      </c>
      <c r="D41" t="s">
        <v>194</v>
      </c>
      <c r="E41" s="18" t="s">
        <v>24</v>
      </c>
    </row>
    <row r="42" spans="2:5">
      <c r="B42">
        <f t="shared" si="0"/>
        <v>38</v>
      </c>
      <c r="C42">
        <v>2102</v>
      </c>
      <c r="D42" t="s">
        <v>428</v>
      </c>
      <c r="E42" s="18" t="s">
        <v>24</v>
      </c>
    </row>
    <row r="43" spans="2:5">
      <c r="B43">
        <f t="shared" si="0"/>
        <v>39</v>
      </c>
      <c r="C43">
        <v>2106</v>
      </c>
      <c r="D43" t="s">
        <v>329</v>
      </c>
      <c r="E43" s="18" t="s">
        <v>467</v>
      </c>
    </row>
    <row r="44" spans="2:5">
      <c r="B44">
        <f t="shared" si="0"/>
        <v>40</v>
      </c>
      <c r="C44">
        <v>2106</v>
      </c>
      <c r="D44" t="s">
        <v>151</v>
      </c>
      <c r="E44" s="18" t="s">
        <v>467</v>
      </c>
    </row>
    <row r="45" spans="2:5">
      <c r="B45">
        <f t="shared" si="0"/>
        <v>41</v>
      </c>
      <c r="C45">
        <v>2103</v>
      </c>
      <c r="D45" t="s">
        <v>196</v>
      </c>
      <c r="E45" s="18" t="s">
        <v>25</v>
      </c>
    </row>
    <row r="46" spans="2:5">
      <c r="B46">
        <f t="shared" si="0"/>
        <v>42</v>
      </c>
      <c r="C46">
        <v>2103</v>
      </c>
      <c r="D46" t="s">
        <v>429</v>
      </c>
      <c r="E46" s="18" t="s">
        <v>25</v>
      </c>
    </row>
    <row r="47" spans="2:5">
      <c r="B47">
        <f t="shared" si="0"/>
        <v>43</v>
      </c>
      <c r="C47">
        <v>2104</v>
      </c>
      <c r="D47" t="s">
        <v>197</v>
      </c>
      <c r="E47" s="18" t="s">
        <v>26</v>
      </c>
    </row>
    <row r="48" spans="2:5">
      <c r="B48">
        <f t="shared" si="0"/>
        <v>44</v>
      </c>
      <c r="C48">
        <v>2104</v>
      </c>
      <c r="D48" t="s">
        <v>400</v>
      </c>
      <c r="E48" s="18" t="s">
        <v>26</v>
      </c>
    </row>
    <row r="49" spans="2:5">
      <c r="B49">
        <f t="shared" si="0"/>
        <v>45</v>
      </c>
      <c r="C49">
        <v>2105</v>
      </c>
      <c r="D49" t="s">
        <v>361</v>
      </c>
      <c r="E49" s="18" t="s">
        <v>363</v>
      </c>
    </row>
    <row r="50" spans="2:5">
      <c r="B50">
        <f t="shared" si="0"/>
        <v>46</v>
      </c>
      <c r="C50">
        <v>2105</v>
      </c>
      <c r="D50" t="s">
        <v>362</v>
      </c>
      <c r="E50" s="18" t="s">
        <v>363</v>
      </c>
    </row>
    <row r="51" spans="2:5">
      <c r="B51">
        <f t="shared" si="0"/>
        <v>47</v>
      </c>
      <c r="C51">
        <v>2106</v>
      </c>
      <c r="D51" t="s">
        <v>364</v>
      </c>
      <c r="E51" s="18" t="s">
        <v>366</v>
      </c>
    </row>
    <row r="52" spans="2:5">
      <c r="B52">
        <f t="shared" si="0"/>
        <v>48</v>
      </c>
      <c r="C52">
        <v>2106</v>
      </c>
      <c r="D52" t="s">
        <v>365</v>
      </c>
      <c r="E52" s="18" t="s">
        <v>366</v>
      </c>
    </row>
    <row r="53" spans="2:5">
      <c r="B53">
        <f t="shared" si="0"/>
        <v>49</v>
      </c>
      <c r="C53">
        <v>2107</v>
      </c>
      <c r="D53" t="s">
        <v>469</v>
      </c>
      <c r="E53" s="18" t="s">
        <v>471</v>
      </c>
    </row>
    <row r="54" spans="2:5">
      <c r="B54">
        <f t="shared" si="0"/>
        <v>50</v>
      </c>
      <c r="C54">
        <v>2107</v>
      </c>
      <c r="D54" t="s">
        <v>470</v>
      </c>
      <c r="E54" s="18" t="s">
        <v>471</v>
      </c>
    </row>
    <row r="55" spans="2:5">
      <c r="B55">
        <f t="shared" si="0"/>
        <v>51</v>
      </c>
      <c r="C55">
        <v>2108</v>
      </c>
      <c r="D55" t="s">
        <v>367</v>
      </c>
      <c r="E55" s="18" t="s">
        <v>369</v>
      </c>
    </row>
    <row r="56" spans="2:5">
      <c r="B56">
        <f t="shared" si="0"/>
        <v>52</v>
      </c>
      <c r="C56">
        <v>2108</v>
      </c>
      <c r="D56" t="s">
        <v>368</v>
      </c>
      <c r="E56" s="18" t="s">
        <v>369</v>
      </c>
    </row>
    <row r="57" spans="2:5">
      <c r="B57">
        <f t="shared" si="0"/>
        <v>53</v>
      </c>
      <c r="C57">
        <v>2109</v>
      </c>
      <c r="D57" t="s">
        <v>477</v>
      </c>
      <c r="E57" s="18" t="s">
        <v>479</v>
      </c>
    </row>
    <row r="58" spans="2:5">
      <c r="B58">
        <f t="shared" si="0"/>
        <v>54</v>
      </c>
      <c r="C58">
        <v>2109</v>
      </c>
      <c r="D58" t="s">
        <v>478</v>
      </c>
      <c r="E58" s="18" t="s">
        <v>479</v>
      </c>
    </row>
    <row r="59" spans="2:5">
      <c r="B59">
        <f t="shared" si="0"/>
        <v>55</v>
      </c>
      <c r="C59">
        <v>2110</v>
      </c>
      <c r="D59" t="s">
        <v>481</v>
      </c>
      <c r="E59" s="18" t="s">
        <v>483</v>
      </c>
    </row>
    <row r="60" spans="2:5">
      <c r="B60">
        <f t="shared" si="0"/>
        <v>56</v>
      </c>
      <c r="C60">
        <v>2110</v>
      </c>
      <c r="D60" t="s">
        <v>482</v>
      </c>
      <c r="E60" s="18" t="s">
        <v>483</v>
      </c>
    </row>
    <row r="61" spans="2:5">
      <c r="B61">
        <f t="shared" si="0"/>
        <v>57</v>
      </c>
      <c r="C61">
        <v>2111</v>
      </c>
      <c r="D61" t="s">
        <v>510</v>
      </c>
      <c r="E61" s="18" t="s">
        <v>512</v>
      </c>
    </row>
    <row r="62" spans="2:5">
      <c r="B62">
        <f t="shared" si="0"/>
        <v>58</v>
      </c>
      <c r="C62">
        <v>2111</v>
      </c>
      <c r="D62" t="s">
        <v>511</v>
      </c>
      <c r="E62" s="18" t="s">
        <v>512</v>
      </c>
    </row>
    <row r="63" spans="2:5">
      <c r="B63">
        <f t="shared" si="0"/>
        <v>59</v>
      </c>
      <c r="C63">
        <v>3102</v>
      </c>
      <c r="D63" t="s">
        <v>313</v>
      </c>
      <c r="E63" s="18" t="s">
        <v>403</v>
      </c>
    </row>
    <row r="64" spans="2:5">
      <c r="B64">
        <f t="shared" si="0"/>
        <v>60</v>
      </c>
      <c r="C64">
        <v>3102</v>
      </c>
      <c r="D64" t="s">
        <v>516</v>
      </c>
      <c r="E64" s="18" t="s">
        <v>403</v>
      </c>
    </row>
    <row r="65" spans="2:5">
      <c r="B65">
        <f t="shared" si="0"/>
        <v>61</v>
      </c>
      <c r="C65">
        <v>3103</v>
      </c>
      <c r="D65" t="s">
        <v>293</v>
      </c>
      <c r="E65" s="18" t="s">
        <v>27</v>
      </c>
    </row>
    <row r="66" spans="2:5">
      <c r="B66">
        <f t="shared" si="0"/>
        <v>62</v>
      </c>
      <c r="C66">
        <v>3103</v>
      </c>
      <c r="D66" t="s">
        <v>430</v>
      </c>
      <c r="E66" s="18" t="s">
        <v>27</v>
      </c>
    </row>
    <row r="67" spans="2:5">
      <c r="B67">
        <f t="shared" si="0"/>
        <v>63</v>
      </c>
      <c r="C67">
        <v>3104</v>
      </c>
      <c r="D67" t="s">
        <v>407</v>
      </c>
      <c r="E67" s="18" t="s">
        <v>409</v>
      </c>
    </row>
    <row r="68" spans="2:5">
      <c r="B68">
        <f t="shared" si="0"/>
        <v>64</v>
      </c>
      <c r="C68">
        <v>3104</v>
      </c>
      <c r="D68" t="s">
        <v>408</v>
      </c>
      <c r="E68" s="18" t="s">
        <v>409</v>
      </c>
    </row>
    <row r="69" spans="2:5">
      <c r="B69">
        <f t="shared" si="0"/>
        <v>65</v>
      </c>
      <c r="C69">
        <v>4101</v>
      </c>
      <c r="D69" t="s">
        <v>211</v>
      </c>
      <c r="E69" s="18" t="s">
        <v>28</v>
      </c>
    </row>
    <row r="70" spans="2:5">
      <c r="B70">
        <f t="shared" si="0"/>
        <v>66</v>
      </c>
      <c r="C70">
        <v>4101</v>
      </c>
      <c r="D70" t="s">
        <v>149</v>
      </c>
      <c r="E70" s="18" t="s">
        <v>28</v>
      </c>
    </row>
    <row r="71" spans="2:5">
      <c r="B71">
        <f t="shared" si="0"/>
        <v>67</v>
      </c>
      <c r="C71">
        <v>4103</v>
      </c>
      <c r="D71" t="s">
        <v>146</v>
      </c>
      <c r="E71" s="18" t="s">
        <v>148</v>
      </c>
    </row>
    <row r="72" spans="2:5">
      <c r="B72">
        <f t="shared" si="0"/>
        <v>68</v>
      </c>
      <c r="C72">
        <v>4103</v>
      </c>
      <c r="D72" t="s">
        <v>147</v>
      </c>
      <c r="E72" s="18" t="s">
        <v>148</v>
      </c>
    </row>
    <row r="73" spans="2:5">
      <c r="B73">
        <f t="shared" si="0"/>
        <v>69</v>
      </c>
      <c r="C73">
        <v>4102</v>
      </c>
      <c r="D73" t="s">
        <v>283</v>
      </c>
      <c r="E73" s="18" t="s">
        <v>288</v>
      </c>
    </row>
    <row r="74" spans="2:5">
      <c r="B74">
        <f t="shared" si="0"/>
        <v>70</v>
      </c>
      <c r="C74">
        <v>4102</v>
      </c>
      <c r="D74" t="s">
        <v>284</v>
      </c>
      <c r="E74" s="18" t="s">
        <v>288</v>
      </c>
    </row>
    <row r="75" spans="2:5">
      <c r="B75">
        <f t="shared" si="0"/>
        <v>71</v>
      </c>
      <c r="C75">
        <v>4103</v>
      </c>
      <c r="D75" t="s">
        <v>392</v>
      </c>
      <c r="E75" s="18" t="s">
        <v>394</v>
      </c>
    </row>
    <row r="76" spans="2:5">
      <c r="B76">
        <f t="shared" si="0"/>
        <v>72</v>
      </c>
      <c r="C76">
        <v>4103</v>
      </c>
      <c r="D76" t="s">
        <v>393</v>
      </c>
      <c r="E76" s="18" t="s">
        <v>394</v>
      </c>
    </row>
    <row r="77" spans="2:5">
      <c r="B77">
        <f t="shared" si="0"/>
        <v>73</v>
      </c>
      <c r="C77">
        <v>4104</v>
      </c>
      <c r="D77" t="s">
        <v>283</v>
      </c>
      <c r="E77" s="18" t="s">
        <v>288</v>
      </c>
    </row>
    <row r="78" spans="2:5">
      <c r="B78">
        <f t="shared" si="0"/>
        <v>74</v>
      </c>
      <c r="C78">
        <v>4104</v>
      </c>
      <c r="D78" t="s">
        <v>284</v>
      </c>
      <c r="E78" s="18" t="s">
        <v>288</v>
      </c>
    </row>
    <row r="79" spans="2:5">
      <c r="B79">
        <f t="shared" si="0"/>
        <v>75</v>
      </c>
      <c r="C79">
        <v>4105</v>
      </c>
      <c r="D79" t="s">
        <v>461</v>
      </c>
      <c r="E79" s="18" t="s">
        <v>463</v>
      </c>
    </row>
    <row r="80" spans="2:5">
      <c r="B80">
        <f t="shared" si="0"/>
        <v>76</v>
      </c>
      <c r="C80">
        <v>4105</v>
      </c>
      <c r="D80" t="s">
        <v>462</v>
      </c>
      <c r="E80" s="18" t="s">
        <v>463</v>
      </c>
    </row>
    <row r="81" spans="2:5">
      <c r="B81">
        <f t="shared" si="0"/>
        <v>77</v>
      </c>
      <c r="C81">
        <v>5101</v>
      </c>
      <c r="D81" t="s">
        <v>414</v>
      </c>
      <c r="E81" s="18" t="s">
        <v>29</v>
      </c>
    </row>
    <row r="82" spans="2:5">
      <c r="B82">
        <f t="shared" si="0"/>
        <v>78</v>
      </c>
      <c r="C82">
        <v>5101</v>
      </c>
      <c r="D82" t="s">
        <v>431</v>
      </c>
      <c r="E82" s="18" t="s">
        <v>29</v>
      </c>
    </row>
    <row r="83" spans="2:5">
      <c r="B83">
        <f t="shared" si="0"/>
        <v>79</v>
      </c>
      <c r="C83">
        <v>5102</v>
      </c>
      <c r="D83" t="s">
        <v>415</v>
      </c>
      <c r="E83" s="18" t="s">
        <v>30</v>
      </c>
    </row>
    <row r="84" spans="2:5">
      <c r="B84">
        <f t="shared" si="0"/>
        <v>80</v>
      </c>
      <c r="C84">
        <v>5102</v>
      </c>
      <c r="D84" t="s">
        <v>67</v>
      </c>
      <c r="E84" s="18" t="s">
        <v>30</v>
      </c>
    </row>
    <row r="85" spans="2:5">
      <c r="B85">
        <f t="shared" si="0"/>
        <v>81</v>
      </c>
      <c r="C85">
        <v>5103</v>
      </c>
      <c r="D85" t="s">
        <v>416</v>
      </c>
      <c r="E85" s="18" t="s">
        <v>31</v>
      </c>
    </row>
    <row r="86" spans="2:5">
      <c r="B86">
        <f t="shared" si="0"/>
        <v>82</v>
      </c>
      <c r="C86">
        <v>5103</v>
      </c>
      <c r="D86" t="s">
        <v>432</v>
      </c>
      <c r="E86" s="18" t="s">
        <v>31</v>
      </c>
    </row>
    <row r="87" spans="2:5">
      <c r="B87">
        <f t="shared" ref="B87:B108" si="1">IF(C87&lt;&gt;"",B86+1,"")</f>
        <v>83</v>
      </c>
      <c r="C87">
        <v>5104</v>
      </c>
      <c r="D87" t="s">
        <v>417</v>
      </c>
      <c r="E87" s="18" t="s">
        <v>32</v>
      </c>
    </row>
    <row r="88" spans="2:5">
      <c r="B88">
        <f t="shared" si="1"/>
        <v>84</v>
      </c>
      <c r="C88">
        <v>5104</v>
      </c>
      <c r="D88" t="s">
        <v>422</v>
      </c>
      <c r="E88" s="18" t="s">
        <v>32</v>
      </c>
    </row>
    <row r="89" spans="2:5">
      <c r="B89">
        <f t="shared" si="1"/>
        <v>85</v>
      </c>
      <c r="C89">
        <v>5105</v>
      </c>
      <c r="D89" t="s">
        <v>418</v>
      </c>
      <c r="E89" s="18" t="s">
        <v>33</v>
      </c>
    </row>
    <row r="90" spans="2:5">
      <c r="B90">
        <f t="shared" si="1"/>
        <v>86</v>
      </c>
      <c r="C90">
        <v>5105</v>
      </c>
      <c r="D90" t="s">
        <v>433</v>
      </c>
      <c r="E90" s="18" t="s">
        <v>33</v>
      </c>
    </row>
    <row r="91" spans="2:5">
      <c r="B91">
        <f t="shared" si="1"/>
        <v>87</v>
      </c>
      <c r="C91">
        <v>5106</v>
      </c>
      <c r="D91" s="2" t="s">
        <v>419</v>
      </c>
      <c r="E91" s="18" t="s">
        <v>34</v>
      </c>
    </row>
    <row r="92" spans="2:5">
      <c r="B92">
        <f t="shared" si="1"/>
        <v>88</v>
      </c>
      <c r="C92">
        <v>5106</v>
      </c>
      <c r="D92" t="s">
        <v>434</v>
      </c>
      <c r="E92" s="18" t="s">
        <v>34</v>
      </c>
    </row>
    <row r="93" spans="2:5">
      <c r="B93">
        <f t="shared" si="1"/>
        <v>89</v>
      </c>
      <c r="C93">
        <v>5107</v>
      </c>
      <c r="D93" t="s">
        <v>420</v>
      </c>
      <c r="E93" s="18" t="s">
        <v>35</v>
      </c>
    </row>
    <row r="94" spans="2:5">
      <c r="B94">
        <f t="shared" si="1"/>
        <v>90</v>
      </c>
      <c r="C94">
        <v>5107</v>
      </c>
      <c r="D94" t="s">
        <v>435</v>
      </c>
      <c r="E94" s="18" t="s">
        <v>35</v>
      </c>
    </row>
    <row r="95" spans="2:5">
      <c r="B95">
        <f t="shared" si="1"/>
        <v>91</v>
      </c>
      <c r="C95">
        <v>5108</v>
      </c>
      <c r="D95" t="s">
        <v>421</v>
      </c>
      <c r="E95" s="18" t="s">
        <v>36</v>
      </c>
    </row>
    <row r="96" spans="2:5">
      <c r="B96">
        <f t="shared" si="1"/>
        <v>92</v>
      </c>
      <c r="C96">
        <v>5108</v>
      </c>
      <c r="D96" t="s">
        <v>436</v>
      </c>
      <c r="E96" s="18" t="s">
        <v>36</v>
      </c>
    </row>
    <row r="97" spans="2:5">
      <c r="B97">
        <f t="shared" si="1"/>
        <v>93</v>
      </c>
      <c r="C97">
        <v>5109</v>
      </c>
      <c r="D97" t="s">
        <v>125</v>
      </c>
      <c r="E97" s="18" t="s">
        <v>127</v>
      </c>
    </row>
    <row r="98" spans="2:5">
      <c r="B98">
        <f t="shared" si="1"/>
        <v>94</v>
      </c>
      <c r="C98">
        <v>5109</v>
      </c>
      <c r="D98" t="s">
        <v>126</v>
      </c>
      <c r="E98" s="18" t="s">
        <v>127</v>
      </c>
    </row>
    <row r="99" spans="2:5">
      <c r="B99">
        <f t="shared" si="1"/>
        <v>95</v>
      </c>
      <c r="C99">
        <v>5110</v>
      </c>
      <c r="D99" t="s">
        <v>395</v>
      </c>
      <c r="E99" s="18" t="s">
        <v>397</v>
      </c>
    </row>
    <row r="100" spans="2:5">
      <c r="B100">
        <f t="shared" si="1"/>
        <v>96</v>
      </c>
      <c r="C100">
        <v>5110</v>
      </c>
      <c r="D100" t="s">
        <v>396</v>
      </c>
      <c r="E100" s="18" t="s">
        <v>397</v>
      </c>
    </row>
    <row r="101" spans="2:5">
      <c r="B101">
        <f t="shared" si="1"/>
        <v>97</v>
      </c>
      <c r="C101">
        <v>5111</v>
      </c>
      <c r="D101" t="s">
        <v>285</v>
      </c>
      <c r="E101" s="18" t="s">
        <v>287</v>
      </c>
    </row>
    <row r="102" spans="2:5">
      <c r="B102">
        <f t="shared" si="1"/>
        <v>98</v>
      </c>
      <c r="C102">
        <v>5111</v>
      </c>
      <c r="D102" t="s">
        <v>286</v>
      </c>
      <c r="E102" s="18" t="s">
        <v>287</v>
      </c>
    </row>
    <row r="103" spans="2:5">
      <c r="B103">
        <f t="shared" si="1"/>
        <v>99</v>
      </c>
      <c r="C103">
        <v>5112</v>
      </c>
      <c r="D103" t="s">
        <v>497</v>
      </c>
      <c r="E103" s="18" t="s">
        <v>219</v>
      </c>
    </row>
    <row r="104" spans="2:5">
      <c r="B104">
        <f t="shared" si="1"/>
        <v>100</v>
      </c>
      <c r="C104">
        <v>5112</v>
      </c>
      <c r="D104" t="s">
        <v>498</v>
      </c>
      <c r="E104" s="18" t="s">
        <v>219</v>
      </c>
    </row>
    <row r="105" spans="2:5">
      <c r="B105">
        <f t="shared" si="1"/>
        <v>101</v>
      </c>
      <c r="C105">
        <v>5113</v>
      </c>
      <c r="D105" t="s">
        <v>505</v>
      </c>
      <c r="E105" s="18" t="s">
        <v>507</v>
      </c>
    </row>
    <row r="106" spans="2:5">
      <c r="B106">
        <f t="shared" si="1"/>
        <v>102</v>
      </c>
      <c r="C106">
        <v>5113</v>
      </c>
      <c r="D106" t="s">
        <v>506</v>
      </c>
      <c r="E106" s="18" t="s">
        <v>507</v>
      </c>
    </row>
    <row r="107" spans="2:5">
      <c r="B107">
        <f t="shared" si="1"/>
        <v>103</v>
      </c>
      <c r="C107">
        <v>5999</v>
      </c>
      <c r="D107" t="s">
        <v>332</v>
      </c>
      <c r="E107" s="18" t="s">
        <v>334</v>
      </c>
    </row>
    <row r="108" spans="2:5">
      <c r="B108">
        <f t="shared" si="1"/>
        <v>104</v>
      </c>
      <c r="C108">
        <v>5999</v>
      </c>
      <c r="D108" t="s">
        <v>333</v>
      </c>
      <c r="E108" s="18" t="s">
        <v>334</v>
      </c>
    </row>
  </sheetData>
  <phoneticPr fontId="17"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B014F-00B2-4A50-9ACE-8FD613993CBA}">
  <dimension ref="B6:L50"/>
  <sheetViews>
    <sheetView showGridLines="0" showRowColHeaders="0" zoomScaleNormal="100" workbookViewId="0">
      <pane ySplit="2" topLeftCell="A22" activePane="bottomLeft" state="frozen"/>
      <selection pane="bottomLeft" activeCell="H41" sqref="H41"/>
    </sheetView>
  </sheetViews>
  <sheetFormatPr defaultRowHeight="15"/>
  <cols>
    <col min="2" max="2" width="21.85546875" bestFit="1" customWidth="1"/>
    <col min="3" max="3" width="23.42578125" bestFit="1" customWidth="1"/>
    <col min="4" max="4" width="13.7109375" customWidth="1"/>
    <col min="5" max="5" width="21.85546875" bestFit="1" customWidth="1"/>
    <col min="6" max="6" width="11.42578125" bestFit="1" customWidth="1"/>
    <col min="7" max="7" width="21.140625" bestFit="1" customWidth="1"/>
    <col min="8" max="8" width="14.42578125" bestFit="1" customWidth="1"/>
    <col min="10" max="10" width="29.85546875" bestFit="1" customWidth="1"/>
    <col min="11" max="11" width="11.42578125" bestFit="1" customWidth="1"/>
    <col min="12" max="12" width="9.85546875" bestFit="1" customWidth="1"/>
  </cols>
  <sheetData>
    <row r="6" spans="2:2" ht="18">
      <c r="B6" s="72" t="s">
        <v>228</v>
      </c>
    </row>
    <row r="7" spans="2:2">
      <c r="B7" t="s">
        <v>659</v>
      </c>
    </row>
    <row r="8" spans="2:2">
      <c r="B8" t="s">
        <v>660</v>
      </c>
    </row>
    <row r="9" spans="2:2" ht="18">
      <c r="B9" s="72" t="s">
        <v>229</v>
      </c>
    </row>
    <row r="10" spans="2:2">
      <c r="B10" s="86" t="s">
        <v>230</v>
      </c>
    </row>
    <row r="11" spans="2:2">
      <c r="B11" s="86"/>
    </row>
    <row r="12" spans="2:2" ht="18">
      <c r="B12" s="72" t="s">
        <v>231</v>
      </c>
    </row>
    <row r="13" spans="2:2" ht="18">
      <c r="B13" s="72"/>
    </row>
    <row r="16" spans="2:2">
      <c r="B16" t="s">
        <v>232</v>
      </c>
    </row>
    <row r="17" spans="2:11">
      <c r="B17" t="s">
        <v>242</v>
      </c>
    </row>
    <row r="18" spans="2:11">
      <c r="B18" t="s">
        <v>233</v>
      </c>
    </row>
    <row r="19" spans="2:11">
      <c r="B19" t="s">
        <v>234</v>
      </c>
    </row>
    <row r="21" spans="2:11" ht="18">
      <c r="B21" s="72" t="s">
        <v>235</v>
      </c>
    </row>
    <row r="22" spans="2:11">
      <c r="B22" t="s">
        <v>236</v>
      </c>
    </row>
    <row r="24" spans="2:11">
      <c r="B24" s="19" t="s">
        <v>0</v>
      </c>
      <c r="C24" s="19" t="s">
        <v>237</v>
      </c>
      <c r="G24" t="s">
        <v>514</v>
      </c>
      <c r="H24" t="s">
        <v>237</v>
      </c>
      <c r="J24" t="s">
        <v>514</v>
      </c>
      <c r="K24" t="s">
        <v>237</v>
      </c>
    </row>
    <row r="25" spans="2:11">
      <c r="B25" s="19" t="s">
        <v>238</v>
      </c>
      <c r="C25" s="87">
        <v>1500000</v>
      </c>
      <c r="G25" s="19" t="s">
        <v>402</v>
      </c>
      <c r="H25" s="87">
        <v>1000000</v>
      </c>
      <c r="J25" s="19" t="s">
        <v>515</v>
      </c>
      <c r="K25" s="87">
        <v>1000000</v>
      </c>
    </row>
    <row r="26" spans="2:11">
      <c r="B26" s="19" t="s">
        <v>239</v>
      </c>
      <c r="C26" s="87">
        <v>0</v>
      </c>
      <c r="G26" s="19" t="s">
        <v>239</v>
      </c>
      <c r="H26" s="87">
        <v>0</v>
      </c>
      <c r="J26" s="19" t="s">
        <v>239</v>
      </c>
      <c r="K26" s="87">
        <v>0</v>
      </c>
    </row>
    <row r="27" spans="2:11">
      <c r="B27" s="19" t="s">
        <v>240</v>
      </c>
      <c r="C27" s="19" t="s">
        <v>241</v>
      </c>
      <c r="G27" s="19" t="s">
        <v>240</v>
      </c>
      <c r="H27" s="19">
        <v>10</v>
      </c>
      <c r="J27" s="19" t="s">
        <v>240</v>
      </c>
      <c r="K27" s="19">
        <v>8</v>
      </c>
    </row>
    <row r="38" spans="2:12">
      <c r="B38" t="s">
        <v>243</v>
      </c>
    </row>
    <row r="40" spans="2:12">
      <c r="B40" t="s">
        <v>245</v>
      </c>
      <c r="C40" s="71" t="s">
        <v>246</v>
      </c>
      <c r="D40" s="71" t="s">
        <v>401</v>
      </c>
      <c r="F40" t="s">
        <v>245</v>
      </c>
      <c r="G40" s="71" t="s">
        <v>246</v>
      </c>
      <c r="H40" s="71" t="s">
        <v>401</v>
      </c>
      <c r="J40" t="s">
        <v>245</v>
      </c>
      <c r="K40" s="71" t="s">
        <v>246</v>
      </c>
      <c r="L40" s="71" t="s">
        <v>401</v>
      </c>
    </row>
    <row r="41" spans="2:12">
      <c r="B41" s="19">
        <v>2025</v>
      </c>
      <c r="C41" s="88">
        <v>300000</v>
      </c>
      <c r="D41" s="87">
        <v>1200000</v>
      </c>
      <c r="F41" s="19">
        <v>2025</v>
      </c>
      <c r="G41" s="88">
        <v>100000</v>
      </c>
      <c r="H41" s="87">
        <v>900000</v>
      </c>
      <c r="J41" s="19">
        <v>2026</v>
      </c>
      <c r="K41" s="88">
        <v>100000</v>
      </c>
      <c r="L41" s="87">
        <f>K25-Table294712[[#This Row],[Penyusutan per Tahun]]</f>
        <v>900000</v>
      </c>
    </row>
    <row r="42" spans="2:12">
      <c r="B42" s="19">
        <v>2026</v>
      </c>
      <c r="C42" s="88">
        <v>300000</v>
      </c>
      <c r="D42" s="87">
        <f>D41-C41</f>
        <v>900000</v>
      </c>
      <c r="F42" s="19">
        <v>2026</v>
      </c>
      <c r="G42" s="88">
        <v>100000</v>
      </c>
      <c r="H42" s="87">
        <f>H41-G41</f>
        <v>800000</v>
      </c>
      <c r="J42" s="19">
        <v>2027</v>
      </c>
      <c r="K42" s="88">
        <v>100000</v>
      </c>
      <c r="L42" s="87">
        <f>L41-Table294712[[#This Row],[Penyusutan per Tahun]]</f>
        <v>800000</v>
      </c>
    </row>
    <row r="43" spans="2:12">
      <c r="B43" s="19">
        <v>2027</v>
      </c>
      <c r="C43" s="88">
        <v>300000</v>
      </c>
      <c r="D43" s="87">
        <f t="shared" ref="D43:D45" si="0">D42-C42</f>
        <v>600000</v>
      </c>
      <c r="F43" s="19">
        <v>2027</v>
      </c>
      <c r="G43" s="88">
        <v>100000</v>
      </c>
      <c r="H43" s="87">
        <f t="shared" ref="H43:H45" si="1">H42-G42</f>
        <v>700000</v>
      </c>
      <c r="J43" s="19">
        <v>2028</v>
      </c>
      <c r="K43" s="88">
        <v>100000</v>
      </c>
      <c r="L43" s="87">
        <f t="shared" ref="L42:L49" si="2">L42-K42</f>
        <v>700000</v>
      </c>
    </row>
    <row r="44" spans="2:12">
      <c r="B44" s="19">
        <v>2028</v>
      </c>
      <c r="C44" s="88">
        <v>300000</v>
      </c>
      <c r="D44" s="87">
        <f t="shared" si="0"/>
        <v>300000</v>
      </c>
      <c r="F44" s="19">
        <v>2028</v>
      </c>
      <c r="G44" s="88">
        <v>100000</v>
      </c>
      <c r="H44" s="87">
        <f t="shared" si="1"/>
        <v>600000</v>
      </c>
      <c r="J44" s="19">
        <v>2029</v>
      </c>
      <c r="K44" s="88">
        <v>100000</v>
      </c>
      <c r="L44" s="87">
        <f t="shared" si="2"/>
        <v>600000</v>
      </c>
    </row>
    <row r="45" spans="2:12">
      <c r="B45" s="19">
        <v>2029</v>
      </c>
      <c r="C45" s="88">
        <v>300000</v>
      </c>
      <c r="D45" s="87">
        <f t="shared" si="0"/>
        <v>0</v>
      </c>
      <c r="F45" s="19">
        <v>2029</v>
      </c>
      <c r="G45" s="88">
        <v>100000</v>
      </c>
      <c r="H45" s="87">
        <f t="shared" si="1"/>
        <v>500000</v>
      </c>
      <c r="J45" s="19">
        <v>2030</v>
      </c>
      <c r="K45" s="88">
        <v>100000</v>
      </c>
      <c r="L45" s="87">
        <f t="shared" si="2"/>
        <v>500000</v>
      </c>
    </row>
    <row r="46" spans="2:12">
      <c r="F46" s="19">
        <v>2030</v>
      </c>
      <c r="G46" s="88">
        <v>100000</v>
      </c>
      <c r="H46" s="87">
        <f t="shared" ref="H46:H50" si="3">H45-G45</f>
        <v>400000</v>
      </c>
      <c r="J46" s="19">
        <v>2031</v>
      </c>
      <c r="K46" s="88">
        <v>100000</v>
      </c>
      <c r="L46" s="87">
        <f t="shared" si="2"/>
        <v>400000</v>
      </c>
    </row>
    <row r="47" spans="2:12">
      <c r="F47" s="19">
        <v>2031</v>
      </c>
      <c r="G47" s="88">
        <v>100000</v>
      </c>
      <c r="H47" s="87">
        <f t="shared" si="3"/>
        <v>300000</v>
      </c>
      <c r="J47" s="19">
        <v>2032</v>
      </c>
      <c r="K47" s="88">
        <v>100000</v>
      </c>
      <c r="L47" s="87">
        <f t="shared" si="2"/>
        <v>300000</v>
      </c>
    </row>
    <row r="48" spans="2:12">
      <c r="F48" s="19">
        <v>2032</v>
      </c>
      <c r="G48" s="88">
        <v>100000</v>
      </c>
      <c r="H48" s="87">
        <f t="shared" si="3"/>
        <v>200000</v>
      </c>
      <c r="J48" s="19">
        <v>2033</v>
      </c>
      <c r="K48" s="88">
        <v>100000</v>
      </c>
      <c r="L48" s="87">
        <f t="shared" si="2"/>
        <v>200000</v>
      </c>
    </row>
    <row r="49" spans="6:12">
      <c r="F49" s="19">
        <v>2033</v>
      </c>
      <c r="G49" s="88">
        <v>100000</v>
      </c>
      <c r="H49" s="87">
        <f t="shared" si="3"/>
        <v>100000</v>
      </c>
      <c r="J49" s="19">
        <v>2034</v>
      </c>
      <c r="K49" s="88">
        <v>100000</v>
      </c>
      <c r="L49" s="87">
        <f t="shared" si="2"/>
        <v>100000</v>
      </c>
    </row>
    <row r="50" spans="6:12">
      <c r="F50" s="19">
        <v>2034</v>
      </c>
      <c r="G50" s="88">
        <v>100000</v>
      </c>
      <c r="H50" s="87">
        <f t="shared" si="3"/>
        <v>0</v>
      </c>
    </row>
  </sheetData>
  <phoneticPr fontId="17" type="noConversion"/>
  <pageMargins left="0.7" right="0.7" top="0.75" bottom="0.75" header="0.3" footer="0.3"/>
  <pageSetup paperSize="9" scale="59" orientation="portrait" r:id="rId1"/>
  <drawing r:id="rId2"/>
  <tableParts count="6">
    <tablePart r:id="rId3"/>
    <tablePart r:id="rId4"/>
    <tablePart r:id="rId5"/>
    <tablePart r:id="rId6"/>
    <tablePart r:id="rId7"/>
    <tablePart r:id="rId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0FA8B-56B3-4399-A785-EDCA89E96B6A}">
  <dimension ref="B8:I40"/>
  <sheetViews>
    <sheetView showGridLines="0" showRowColHeaders="0" zoomScaleNormal="100" workbookViewId="0">
      <pane ySplit="2" topLeftCell="A12" activePane="bottomLeft" state="frozen"/>
      <selection pane="bottomLeft" activeCell="C28" sqref="C28"/>
    </sheetView>
  </sheetViews>
  <sheetFormatPr defaultRowHeight="15"/>
  <cols>
    <col min="2" max="2" width="22.7109375" bestFit="1" customWidth="1"/>
    <col min="3" max="3" width="18.7109375" bestFit="1" customWidth="1"/>
    <col min="4" max="5" width="15.42578125" bestFit="1" customWidth="1"/>
    <col min="6" max="6" width="14.85546875" bestFit="1" customWidth="1"/>
    <col min="7" max="7" width="14.7109375" bestFit="1" customWidth="1"/>
    <col min="8" max="8" width="16.28515625" bestFit="1" customWidth="1"/>
    <col min="9" max="9" width="16.85546875" bestFit="1" customWidth="1"/>
    <col min="10" max="10" width="11" customWidth="1"/>
  </cols>
  <sheetData>
    <row r="8" spans="2:9">
      <c r="B8" s="4" t="s">
        <v>250</v>
      </c>
    </row>
    <row r="10" spans="2:9">
      <c r="B10" t="s">
        <v>251</v>
      </c>
    </row>
    <row r="12" spans="2:9">
      <c r="B12" t="s">
        <v>252</v>
      </c>
      <c r="C12" t="s">
        <v>253</v>
      </c>
      <c r="D12" t="s">
        <v>254</v>
      </c>
      <c r="E12" t="s">
        <v>255</v>
      </c>
      <c r="F12" t="s">
        <v>256</v>
      </c>
      <c r="G12" t="s">
        <v>257</v>
      </c>
      <c r="H12" t="s">
        <v>258</v>
      </c>
      <c r="I12" t="s">
        <v>259</v>
      </c>
    </row>
    <row r="13" spans="2:9">
      <c r="B13" s="275" t="str">
        <f>Measurements!O8</f>
        <v>Ghost A</v>
      </c>
      <c r="C13" s="49">
        <f>Measurements!AU12+Measurements!AU48+Measurements!AU63</f>
        <v>6690000</v>
      </c>
      <c r="D13" s="49">
        <v>2020000</v>
      </c>
      <c r="E13" s="49">
        <v>920000</v>
      </c>
      <c r="F13" s="10"/>
      <c r="G13" s="10"/>
      <c r="H13" s="10"/>
      <c r="I13" s="47">
        <v>3750000</v>
      </c>
    </row>
    <row r="14" spans="2:9">
      <c r="B14" s="275" t="str">
        <f>Measurements!O9</f>
        <v>Ghost B</v>
      </c>
      <c r="C14" s="49">
        <f>Measurements!AU15+Measurements!AU36+Measurements!AU39+Measurements!AU57</f>
        <v>8770000</v>
      </c>
      <c r="D14" s="49">
        <v>1930000</v>
      </c>
      <c r="E14" s="10"/>
      <c r="F14" s="49">
        <v>4070000</v>
      </c>
      <c r="G14" s="49">
        <v>340000</v>
      </c>
      <c r="H14" s="47">
        <v>2430000</v>
      </c>
      <c r="I14" s="10"/>
    </row>
    <row r="15" spans="2:9">
      <c r="B15" s="275" t="str">
        <f>Measurements!O10</f>
        <v>Ghost C</v>
      </c>
      <c r="C15" s="49">
        <f>Measurements!AU18+Measurements!AU33+Measurements!AU54+Measurements!AU72</f>
        <v>5430000.0545454547</v>
      </c>
      <c r="D15" s="49">
        <v>50000.054545454543</v>
      </c>
      <c r="E15" s="49">
        <v>1270000</v>
      </c>
      <c r="F15" s="10"/>
      <c r="G15" s="49">
        <v>1830000</v>
      </c>
      <c r="H15" s="47">
        <v>2280000</v>
      </c>
      <c r="I15" s="10"/>
    </row>
    <row r="16" spans="2:9">
      <c r="B16" s="275" t="str">
        <f>Measurements!O11</f>
        <v>Ghost D</v>
      </c>
      <c r="C16" s="49">
        <f>Measurements!AU21+Measurements!AU51+Measurements!AU69</f>
        <v>6740000</v>
      </c>
      <c r="D16" s="49">
        <v>1200000</v>
      </c>
      <c r="E16" s="49">
        <v>2580000</v>
      </c>
      <c r="F16" s="10"/>
      <c r="G16" s="47">
        <v>2960000</v>
      </c>
      <c r="H16" s="10"/>
      <c r="I16" s="10"/>
    </row>
    <row r="17" spans="2:9">
      <c r="B17" s="275" t="str">
        <f>Measurements!O12</f>
        <v>Ghost E</v>
      </c>
      <c r="C17" s="49">
        <f>Measurements!AU24+Measurements!AU45</f>
        <v>2130000</v>
      </c>
      <c r="D17" s="10"/>
      <c r="E17" s="10"/>
      <c r="F17" s="49">
        <v>830000</v>
      </c>
      <c r="G17" s="47">
        <v>1300000</v>
      </c>
      <c r="H17" s="10"/>
      <c r="I17" s="10"/>
    </row>
    <row r="18" spans="2:9">
      <c r="B18" s="275" t="str">
        <f>Measurements!O13</f>
        <v>Ghost F</v>
      </c>
      <c r="C18" s="49">
        <f>Measurements!AU27+Measurements!AU42+Measurements!AU66</f>
        <v>5860000</v>
      </c>
      <c r="D18" s="49">
        <v>2020000</v>
      </c>
      <c r="E18" s="10"/>
      <c r="F18" s="49">
        <v>2910000</v>
      </c>
      <c r="G18" s="47">
        <v>930000</v>
      </c>
      <c r="H18" s="10"/>
      <c r="I18" s="10"/>
    </row>
    <row r="19" spans="2:9">
      <c r="B19" s="275" t="str">
        <f>Measurements!O14</f>
        <v>Ghost G</v>
      </c>
      <c r="C19" s="49">
        <f>Measurements!AU30+Measurements!AU60</f>
        <v>1420000</v>
      </c>
      <c r="D19" s="49">
        <v>670000</v>
      </c>
      <c r="E19" s="10"/>
      <c r="F19" s="10"/>
      <c r="G19" s="47">
        <v>750000</v>
      </c>
      <c r="H19" s="10"/>
      <c r="I19" s="10"/>
    </row>
    <row r="20" spans="2:9">
      <c r="B20" s="276" t="s">
        <v>248</v>
      </c>
      <c r="C20" s="151">
        <f>SUBTOTAL(109,C13:C19)</f>
        <v>37040000.054545455</v>
      </c>
      <c r="D20" s="151">
        <f>SUBTOTAL(109,D13:D19)</f>
        <v>7890000.0545454547</v>
      </c>
      <c r="E20" s="151">
        <f t="shared" ref="E20:I20" si="0">SUBTOTAL(109,E13:E19)</f>
        <v>4770000</v>
      </c>
      <c r="F20" s="151">
        <f t="shared" si="0"/>
        <v>7810000</v>
      </c>
      <c r="G20" s="151">
        <f t="shared" si="0"/>
        <v>8110000</v>
      </c>
      <c r="H20" s="151">
        <f t="shared" si="0"/>
        <v>4710000</v>
      </c>
      <c r="I20" s="151">
        <f t="shared" si="0"/>
        <v>3750000</v>
      </c>
    </row>
    <row r="21" spans="2:9">
      <c r="B21" s="99"/>
      <c r="C21" s="4"/>
      <c r="D21" s="4"/>
      <c r="E21" s="4"/>
      <c r="F21" s="4"/>
      <c r="G21" s="4"/>
      <c r="H21" s="4"/>
      <c r="I21" s="4"/>
    </row>
    <row r="22" spans="2:9">
      <c r="B22" s="4" t="s">
        <v>261</v>
      </c>
    </row>
    <row r="24" spans="2:9" ht="30">
      <c r="B24" s="90" t="s">
        <v>262</v>
      </c>
      <c r="C24" s="90" t="s">
        <v>253</v>
      </c>
      <c r="D24" s="90" t="s">
        <v>263</v>
      </c>
      <c r="E24" s="90" t="s">
        <v>264</v>
      </c>
    </row>
    <row r="25" spans="2:9">
      <c r="B25" s="91" t="s">
        <v>265</v>
      </c>
      <c r="C25" s="102">
        <f>SUM(D20:G20)</f>
        <v>28580000.054545455</v>
      </c>
      <c r="D25" s="92">
        <v>0</v>
      </c>
      <c r="E25" s="102">
        <f>Table36[[#This Row],[Total Piutang]]*Table36[[#This Row],[Estimasi Tidak Tertagih (%)]]</f>
        <v>0</v>
      </c>
    </row>
    <row r="26" spans="2:9">
      <c r="B26" s="91" t="s">
        <v>258</v>
      </c>
      <c r="C26" s="102">
        <f>H20</f>
        <v>4710000</v>
      </c>
      <c r="D26" s="92">
        <v>0.2</v>
      </c>
      <c r="E26" s="102">
        <f>Table36[[#This Row],[Total Piutang]]*Table36[[#This Row],[Estimasi Tidak Tertagih (%)]]</f>
        <v>942000</v>
      </c>
    </row>
    <row r="27" spans="2:9">
      <c r="B27" s="91" t="s">
        <v>259</v>
      </c>
      <c r="C27" s="102">
        <f>I20</f>
        <v>3750000</v>
      </c>
      <c r="D27" s="92">
        <v>0.5</v>
      </c>
      <c r="E27" s="102">
        <f>Table36[[#This Row],[Total Piutang]]*Table36[[#This Row],[Estimasi Tidak Tertagih (%)]]</f>
        <v>1875000</v>
      </c>
    </row>
    <row r="28" spans="2:9">
      <c r="B28" s="93" t="s">
        <v>260</v>
      </c>
      <c r="C28" s="103">
        <f>SUBTOTAL(109,C25:C27)</f>
        <v>37040000.054545455</v>
      </c>
      <c r="D28" s="91"/>
      <c r="E28" s="103">
        <f>SUBTOTAL(109,E25:E27)</f>
        <v>2817000</v>
      </c>
    </row>
    <row r="30" spans="2:9">
      <c r="B30" t="s">
        <v>251</v>
      </c>
    </row>
    <row r="31" spans="2:9">
      <c r="B31" t="s">
        <v>584</v>
      </c>
    </row>
    <row r="32" spans="2:9">
      <c r="B32" s="286" t="s">
        <v>252</v>
      </c>
      <c r="C32" s="287" t="s">
        <v>585</v>
      </c>
    </row>
    <row r="33" spans="2:3">
      <c r="B33" s="288" t="s">
        <v>86</v>
      </c>
      <c r="C33" s="289">
        <f>SUMIF(Measurements!$C$8:$C$49,'Aging Schedule'!$B33,Measurements!$L$8:$L$49)</f>
        <v>6915000</v>
      </c>
    </row>
    <row r="34" spans="2:3">
      <c r="B34" s="288" t="s">
        <v>78</v>
      </c>
      <c r="C34" s="289">
        <f>SUMIF(Measurements!$C$8:$C$49,'Aging Schedule'!$B34,Measurements!$L$8:$L$49)</f>
        <v>5466500</v>
      </c>
    </row>
    <row r="35" spans="2:3">
      <c r="B35" s="288" t="s">
        <v>372</v>
      </c>
      <c r="C35" s="289">
        <f>SUMIF(Measurements!$C$8:$C$49,'Aging Schedule'!$B35,Measurements!$L$8:$L$49)</f>
        <v>1520000</v>
      </c>
    </row>
    <row r="36" spans="2:3">
      <c r="B36" s="288" t="s">
        <v>87</v>
      </c>
      <c r="C36" s="289">
        <f>SUMIF(Measurements!$C$8:$C$49,'Aging Schedule'!$B36,Measurements!$L$8:$L$49)</f>
        <v>2895000</v>
      </c>
    </row>
    <row r="37" spans="2:3">
      <c r="B37" s="288" t="s">
        <v>81</v>
      </c>
      <c r="C37" s="289">
        <f>SUMIF(Measurements!$C$8:$C$49,'Aging Schedule'!$B37,Measurements!$L$8:$L$49)</f>
        <v>8930000</v>
      </c>
    </row>
    <row r="38" spans="2:3">
      <c r="B38" s="288" t="s">
        <v>84</v>
      </c>
      <c r="C38" s="289">
        <f>SUMIF(Measurements!$C$8:$C$49,'Aging Schedule'!$B38,Measurements!$L$8:$L$49)</f>
        <v>6370000</v>
      </c>
    </row>
    <row r="39" spans="2:3">
      <c r="B39" s="288" t="s">
        <v>79</v>
      </c>
      <c r="C39" s="289">
        <f>SUMIF(Measurements!$C$8:$C$49,'Aging Schedule'!$B39,Measurements!$L$8:$L$49)</f>
        <v>7010000</v>
      </c>
    </row>
    <row r="40" spans="2:3">
      <c r="B40" s="290" t="s">
        <v>248</v>
      </c>
      <c r="C40" s="291">
        <f>SUBTOTAL(109,C33:C39)</f>
        <v>39106500</v>
      </c>
    </row>
  </sheetData>
  <pageMargins left="0.7" right="0.7" top="0.75" bottom="0.75" header="0.3" footer="0.3"/>
  <pageSetup paperSize="9" scale="56"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F5205-ACF0-4399-8021-2AE873467BEC}">
  <dimension ref="B7:H37"/>
  <sheetViews>
    <sheetView showGridLines="0" showRowColHeaders="0" zoomScaleNormal="100" workbookViewId="0">
      <pane ySplit="2" topLeftCell="A3" activePane="bottomLeft" state="frozen"/>
      <selection pane="bottomLeft" activeCell="B1" sqref="B1"/>
    </sheetView>
  </sheetViews>
  <sheetFormatPr defaultRowHeight="15"/>
  <cols>
    <col min="3" max="3" width="15.7109375" bestFit="1" customWidth="1"/>
    <col min="4" max="4" width="14.7109375" customWidth="1"/>
  </cols>
  <sheetData>
    <row r="7" spans="2:2">
      <c r="B7" t="s">
        <v>665</v>
      </c>
    </row>
    <row r="8" spans="2:2">
      <c r="B8" t="s">
        <v>666</v>
      </c>
    </row>
    <row r="9" spans="2:2" ht="18">
      <c r="B9" s="72" t="s">
        <v>170</v>
      </c>
    </row>
    <row r="10" spans="2:2">
      <c r="B10" s="73" t="s">
        <v>171</v>
      </c>
    </row>
    <row r="11" spans="2:2">
      <c r="B11" s="73" t="s">
        <v>174</v>
      </c>
    </row>
    <row r="12" spans="2:2" ht="18">
      <c r="B12" s="72" t="s">
        <v>172</v>
      </c>
    </row>
    <row r="17" spans="2:8">
      <c r="B17" t="s">
        <v>175</v>
      </c>
    </row>
    <row r="18" spans="2:8">
      <c r="B18" t="s">
        <v>661</v>
      </c>
    </row>
    <row r="19" spans="2:8">
      <c r="B19" t="s">
        <v>662</v>
      </c>
    </row>
    <row r="20" spans="2:8">
      <c r="B20" t="s">
        <v>663</v>
      </c>
    </row>
    <row r="21" spans="2:8">
      <c r="B21" t="s">
        <v>664</v>
      </c>
    </row>
    <row r="22" spans="2:8">
      <c r="B22" t="s">
        <v>176</v>
      </c>
    </row>
    <row r="23" spans="2:8">
      <c r="D23" s="76">
        <v>125</v>
      </c>
    </row>
    <row r="24" spans="2:8">
      <c r="B24">
        <v>2025</v>
      </c>
      <c r="D24" s="75">
        <v>500000</v>
      </c>
      <c r="F24">
        <v>2026</v>
      </c>
    </row>
    <row r="25" spans="2:8">
      <c r="B25" s="74" t="s">
        <v>168</v>
      </c>
      <c r="C25" s="74" t="s">
        <v>169</v>
      </c>
      <c r="D25" s="74" t="s">
        <v>173</v>
      </c>
      <c r="F25" s="74" t="s">
        <v>168</v>
      </c>
      <c r="G25" s="74" t="s">
        <v>169</v>
      </c>
      <c r="H25" s="74" t="s">
        <v>173</v>
      </c>
    </row>
    <row r="26" spans="2:8">
      <c r="B26" t="s">
        <v>156</v>
      </c>
      <c r="C26">
        <v>500</v>
      </c>
      <c r="D26" s="70">
        <f>$D$24/BTK[[#This Row],[Jumlah Produksi]]</f>
        <v>1000</v>
      </c>
      <c r="F26" t="s">
        <v>156</v>
      </c>
      <c r="G26">
        <v>500</v>
      </c>
      <c r="H26" s="70">
        <f>$D$24/BTK_45[[#This Row],[Jumlah Produksi]]</f>
        <v>1000</v>
      </c>
    </row>
    <row r="27" spans="2:8">
      <c r="B27" t="s">
        <v>157</v>
      </c>
      <c r="C27">
        <v>500</v>
      </c>
      <c r="D27" s="70">
        <f>$D$24/BTK[[#This Row],[Jumlah Produksi]]</f>
        <v>1000</v>
      </c>
      <c r="F27" t="s">
        <v>157</v>
      </c>
      <c r="G27">
        <v>500</v>
      </c>
      <c r="H27" s="70">
        <f>$D$24/BTK_45[[#This Row],[Jumlah Produksi]]</f>
        <v>1000</v>
      </c>
    </row>
    <row r="28" spans="2:8">
      <c r="B28" t="s">
        <v>158</v>
      </c>
      <c r="C28">
        <v>500</v>
      </c>
      <c r="D28" s="70">
        <f>$D$24/BTK[[#This Row],[Jumlah Produksi]]</f>
        <v>1000</v>
      </c>
      <c r="F28" t="s">
        <v>158</v>
      </c>
      <c r="G28">
        <v>500</v>
      </c>
      <c r="H28" s="70">
        <f>$D$24/BTK_45[[#This Row],[Jumlah Produksi]]</f>
        <v>1000</v>
      </c>
    </row>
    <row r="29" spans="2:8">
      <c r="B29" t="s">
        <v>159</v>
      </c>
      <c r="C29">
        <v>500</v>
      </c>
      <c r="D29" s="70">
        <f>$D$24/BTK[[#This Row],[Jumlah Produksi]]</f>
        <v>1000</v>
      </c>
      <c r="F29" t="s">
        <v>159</v>
      </c>
      <c r="G29">
        <v>500</v>
      </c>
      <c r="H29" s="70">
        <f>$D$24/BTK_45[[#This Row],[Jumlah Produksi]]</f>
        <v>1000</v>
      </c>
    </row>
    <row r="30" spans="2:8">
      <c r="B30" t="s">
        <v>160</v>
      </c>
      <c r="C30">
        <v>500</v>
      </c>
      <c r="D30" s="70">
        <f>$D$24/BTK[[#This Row],[Jumlah Produksi]]</f>
        <v>1000</v>
      </c>
      <c r="F30" t="s">
        <v>160</v>
      </c>
      <c r="G30">
        <v>500</v>
      </c>
      <c r="H30" s="70">
        <f>$D$24/BTK_45[[#This Row],[Jumlah Produksi]]</f>
        <v>1000</v>
      </c>
    </row>
    <row r="31" spans="2:8">
      <c r="B31" t="s">
        <v>161</v>
      </c>
      <c r="C31">
        <v>500</v>
      </c>
      <c r="D31" s="70">
        <f>$D$24/BTK[[#This Row],[Jumlah Produksi]]</f>
        <v>1000</v>
      </c>
      <c r="F31" t="s">
        <v>161</v>
      </c>
      <c r="G31">
        <v>500</v>
      </c>
      <c r="H31" s="70">
        <f>$D$24/BTK_45[[#This Row],[Jumlah Produksi]]</f>
        <v>1000</v>
      </c>
    </row>
    <row r="32" spans="2:8">
      <c r="B32" t="s">
        <v>162</v>
      </c>
      <c r="C32">
        <v>500</v>
      </c>
      <c r="D32" s="70">
        <f>$D$24/BTK[[#This Row],[Jumlah Produksi]]</f>
        <v>1000</v>
      </c>
      <c r="F32" t="s">
        <v>162</v>
      </c>
      <c r="G32">
        <v>500</v>
      </c>
      <c r="H32" s="70">
        <f>$D$24/BTK_45[[#This Row],[Jumlah Produksi]]</f>
        <v>1000</v>
      </c>
    </row>
    <row r="33" spans="2:8">
      <c r="B33" t="s">
        <v>163</v>
      </c>
      <c r="C33">
        <v>500</v>
      </c>
      <c r="D33" s="70">
        <f>$D$24/BTK[[#This Row],[Jumlah Produksi]]</f>
        <v>1000</v>
      </c>
      <c r="F33" t="s">
        <v>163</v>
      </c>
      <c r="G33">
        <v>500</v>
      </c>
      <c r="H33" s="70">
        <f>$D$24/BTK_45[[#This Row],[Jumlah Produksi]]</f>
        <v>1000</v>
      </c>
    </row>
    <row r="34" spans="2:8">
      <c r="B34" t="s">
        <v>164</v>
      </c>
      <c r="C34">
        <v>500</v>
      </c>
      <c r="D34" s="70">
        <f>$D$24/BTK[[#This Row],[Jumlah Produksi]]</f>
        <v>1000</v>
      </c>
      <c r="F34" t="s">
        <v>164</v>
      </c>
      <c r="G34">
        <v>500</v>
      </c>
      <c r="H34" s="70">
        <f>$D$24/BTK_45[[#This Row],[Jumlah Produksi]]</f>
        <v>1000</v>
      </c>
    </row>
    <row r="35" spans="2:8">
      <c r="B35" t="s">
        <v>165</v>
      </c>
      <c r="C35">
        <v>500</v>
      </c>
      <c r="D35" s="70">
        <f>$D$24/BTK[[#This Row],[Jumlah Produksi]]</f>
        <v>1000</v>
      </c>
      <c r="F35" t="s">
        <v>165</v>
      </c>
      <c r="G35">
        <v>500</v>
      </c>
      <c r="H35" s="70">
        <f>$D$24/BTK_45[[#This Row],[Jumlah Produksi]]</f>
        <v>1000</v>
      </c>
    </row>
    <row r="36" spans="2:8">
      <c r="B36" t="s">
        <v>166</v>
      </c>
      <c r="C36">
        <v>500</v>
      </c>
      <c r="D36" s="70">
        <f>$D$24/BTK[[#This Row],[Jumlah Produksi]]</f>
        <v>1000</v>
      </c>
      <c r="F36" t="s">
        <v>166</v>
      </c>
      <c r="G36">
        <v>500</v>
      </c>
      <c r="H36" s="70">
        <f>$D$24/BTK_45[[#This Row],[Jumlah Produksi]]</f>
        <v>1000</v>
      </c>
    </row>
    <row r="37" spans="2:8">
      <c r="B37" t="s">
        <v>167</v>
      </c>
      <c r="C37">
        <v>500</v>
      </c>
      <c r="D37" s="70">
        <f>$D$24/BTK[[#This Row],[Jumlah Produksi]]</f>
        <v>1000</v>
      </c>
      <c r="F37" t="s">
        <v>167</v>
      </c>
      <c r="G37">
        <v>500</v>
      </c>
      <c r="H37" s="70">
        <f>$D$24/BTK_45[[#This Row],[Jumlah Produksi]]</f>
        <v>1000</v>
      </c>
    </row>
  </sheetData>
  <pageMargins left="0.7" right="0.7" top="0.75" bottom="0.75" header="0.3" footer="0.3"/>
  <pageSetup paperSize="9" scale="92"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D63E4-FAF6-43E3-8A5F-122D66474725}">
  <dimension ref="A7:R122"/>
  <sheetViews>
    <sheetView showGridLines="0" showRowColHeaders="0" topLeftCell="G1" zoomScaleNormal="100" workbookViewId="0">
      <pane ySplit="2" topLeftCell="A7" activePane="bottomLeft" state="frozen"/>
      <selection pane="bottomLeft" activeCell="M28" sqref="M28"/>
    </sheetView>
  </sheetViews>
  <sheetFormatPr defaultRowHeight="15"/>
  <cols>
    <col min="2" max="2" width="10.140625" customWidth="1"/>
    <col min="3" max="3" width="20.140625" bestFit="1" customWidth="1"/>
    <col min="4" max="4" width="19.7109375" bestFit="1" customWidth="1"/>
    <col min="5" max="5" width="18.28515625" bestFit="1" customWidth="1"/>
    <col min="6" max="6" width="23.85546875" bestFit="1" customWidth="1"/>
    <col min="7" max="7" width="21.5703125" bestFit="1" customWidth="1"/>
    <col min="8" max="8" width="23.42578125" bestFit="1" customWidth="1"/>
    <col min="9" max="9" width="23.42578125" customWidth="1"/>
    <col min="11" max="11" width="14.140625" bestFit="1" customWidth="1"/>
    <col min="12" max="12" width="15.7109375" customWidth="1"/>
    <col min="13" max="14" width="12.85546875" customWidth="1"/>
    <col min="15" max="15" width="18" customWidth="1"/>
  </cols>
  <sheetData>
    <row r="7" spans="2:16" ht="21.75" thickBot="1">
      <c r="B7" s="190" t="s">
        <v>447</v>
      </c>
      <c r="C7" s="190"/>
      <c r="D7" s="190"/>
      <c r="E7" s="190"/>
      <c r="F7" s="190"/>
      <c r="G7" s="190"/>
      <c r="H7" s="190"/>
    </row>
    <row r="8" spans="2:16" ht="21">
      <c r="B8" s="187"/>
      <c r="C8" s="187"/>
      <c r="D8" s="187"/>
      <c r="E8" s="187"/>
      <c r="F8" s="187"/>
      <c r="G8" s="187"/>
      <c r="H8" s="187"/>
    </row>
    <row r="9" spans="2:16" ht="18">
      <c r="B9" s="72" t="s">
        <v>349</v>
      </c>
    </row>
    <row r="10" spans="2:16">
      <c r="B10" s="114" t="s">
        <v>440</v>
      </c>
      <c r="C10" s="2"/>
      <c r="F10" s="146" t="s">
        <v>342</v>
      </c>
      <c r="G10" s="146" t="s">
        <v>343</v>
      </c>
      <c r="H10" s="146" t="s">
        <v>344</v>
      </c>
    </row>
    <row r="11" spans="2:16" ht="25.5">
      <c r="B11" s="114" t="s">
        <v>351</v>
      </c>
      <c r="C11" s="111"/>
      <c r="F11" s="91" t="s">
        <v>345</v>
      </c>
      <c r="G11" s="109" t="str">
        <f ca="1">_xlfn.FORMULATEXT(H11)</f>
        <v>=PV(1,5%;48;-183333;0;0)</v>
      </c>
      <c r="H11" s="94">
        <f>PV(1.5%,48,-183333,0,0)</f>
        <v>6241123.4875066178</v>
      </c>
      <c r="K11" s="115"/>
    </row>
    <row r="12" spans="2:16" ht="26.25" thickBot="1">
      <c r="B12" s="114" t="s">
        <v>352</v>
      </c>
      <c r="C12" s="2"/>
      <c r="F12" s="91" t="s">
        <v>346</v>
      </c>
      <c r="G12" s="109" t="str">
        <f ca="1">_xlfn.FORMULATEXT(H12)</f>
        <v>=PV(1,5%;48;0;-10000000;0)</v>
      </c>
      <c r="H12" s="94">
        <f>PV(1.5%,48,0,-10000000,0)</f>
        <v>4893616.9531617742</v>
      </c>
      <c r="K12" s="209" t="s">
        <v>448</v>
      </c>
      <c r="L12" s="209"/>
      <c r="M12" s="209"/>
      <c r="N12" s="209"/>
      <c r="O12" s="209"/>
      <c r="P12" s="209"/>
    </row>
    <row r="13" spans="2:16">
      <c r="B13" s="114" t="s">
        <v>353</v>
      </c>
      <c r="C13" s="2"/>
      <c r="F13" s="93" t="s">
        <v>347</v>
      </c>
      <c r="G13" s="109" t="s">
        <v>348</v>
      </c>
      <c r="H13" s="110">
        <f>SUM(H11:H12)</f>
        <v>11134740.440668393</v>
      </c>
      <c r="K13" s="4" t="s">
        <v>170</v>
      </c>
    </row>
    <row r="14" spans="2:16">
      <c r="B14" s="114" t="s">
        <v>475</v>
      </c>
      <c r="C14" s="2"/>
      <c r="F14" s="147" t="s">
        <v>391</v>
      </c>
      <c r="G14" s="147"/>
      <c r="H14" s="148">
        <f>H13-10000000</f>
        <v>1134740.4406683929</v>
      </c>
      <c r="K14" s="86" t="s">
        <v>354</v>
      </c>
    </row>
    <row r="15" spans="2:16">
      <c r="B15" s="114" t="s">
        <v>474</v>
      </c>
      <c r="C15" s="111"/>
      <c r="K15" s="86" t="s">
        <v>355</v>
      </c>
    </row>
    <row r="16" spans="2:16">
      <c r="B16" s="114" t="s">
        <v>476</v>
      </c>
      <c r="C16" s="2"/>
      <c r="K16" s="86" t="s">
        <v>356</v>
      </c>
    </row>
    <row r="18" spans="2:18" ht="21">
      <c r="B18" s="112" t="s">
        <v>350</v>
      </c>
      <c r="C18" s="113"/>
      <c r="D18" s="113"/>
      <c r="E18" s="113"/>
      <c r="F18" s="113"/>
      <c r="G18" s="113"/>
      <c r="H18" s="119"/>
    </row>
    <row r="20" spans="2:18" ht="45">
      <c r="B20" s="191" t="s">
        <v>337</v>
      </c>
      <c r="C20" s="192" t="s">
        <v>63</v>
      </c>
      <c r="D20" s="192" t="s">
        <v>504</v>
      </c>
      <c r="E20" s="192" t="s">
        <v>395</v>
      </c>
      <c r="F20" s="192" t="s">
        <v>338</v>
      </c>
      <c r="G20" s="192" t="s">
        <v>339</v>
      </c>
      <c r="H20" s="193" t="s">
        <v>340</v>
      </c>
      <c r="K20" s="208" t="s">
        <v>168</v>
      </c>
      <c r="L20" s="208" t="s">
        <v>63</v>
      </c>
      <c r="M20" s="208" t="s">
        <v>357</v>
      </c>
      <c r="N20" s="208" t="s">
        <v>358</v>
      </c>
      <c r="O20" s="208" t="s">
        <v>359</v>
      </c>
      <c r="P20" s="208" t="s">
        <v>360</v>
      </c>
    </row>
    <row r="21" spans="2:18">
      <c r="B21" s="203">
        <v>0</v>
      </c>
      <c r="C21" s="196">
        <v>46023</v>
      </c>
      <c r="D21" s="185">
        <v>0</v>
      </c>
      <c r="E21" s="185">
        <v>0</v>
      </c>
      <c r="F21" s="185">
        <v>0</v>
      </c>
      <c r="G21" s="197">
        <f>H14</f>
        <v>1134740.4406683929</v>
      </c>
      <c r="H21" s="198">
        <f>H13</f>
        <v>11134740.440668393</v>
      </c>
      <c r="K21" s="219">
        <v>0</v>
      </c>
      <c r="L21" s="210">
        <v>45658</v>
      </c>
      <c r="M21" s="211" t="s">
        <v>341</v>
      </c>
      <c r="N21" s="211" t="s">
        <v>341</v>
      </c>
      <c r="O21" s="211" t="s">
        <v>341</v>
      </c>
      <c r="P21" s="212">
        <v>5000000</v>
      </c>
      <c r="R21" s="115"/>
    </row>
    <row r="22" spans="2:18">
      <c r="B22" s="204">
        <v>1</v>
      </c>
      <c r="C22" s="194">
        <v>46054</v>
      </c>
      <c r="D22" s="195">
        <f>1.83333%*10000000</f>
        <v>183333</v>
      </c>
      <c r="E22" s="70">
        <f>1.5%*H21</f>
        <v>167021.10661002589</v>
      </c>
      <c r="F22" s="70">
        <f>D22-E22</f>
        <v>16311.89338997411</v>
      </c>
      <c r="G22" s="70">
        <f>G21-F22</f>
        <v>1118428.5472784189</v>
      </c>
      <c r="H22" s="199">
        <f>H21-F22</f>
        <v>11118428.547278419</v>
      </c>
      <c r="K22" s="204">
        <v>1</v>
      </c>
      <c r="L22" s="213">
        <v>45689</v>
      </c>
      <c r="M22" s="214">
        <f>PMT(0.01,36,-5000000)</f>
        <v>166071.54906425596</v>
      </c>
      <c r="N22" s="214">
        <f>IPMT(0.01,1,36,-5000000)</f>
        <v>50000</v>
      </c>
      <c r="O22" s="214">
        <f>Wesel[[#This Row],[Angsuran (Rp)]]-Wesel[[#This Row],[Bunga (Rp)]]</f>
        <v>116071.54906425596</v>
      </c>
      <c r="P22" s="215">
        <f>P21-Wesel[[#This Row],[Pokok (Rp)]]</f>
        <v>4883928.4509357437</v>
      </c>
    </row>
    <row r="23" spans="2:18">
      <c r="B23" s="204">
        <v>2</v>
      </c>
      <c r="C23" s="194">
        <v>46082</v>
      </c>
      <c r="D23" s="195">
        <f t="shared" ref="D23:D69" si="0">1.83333%*10000000</f>
        <v>183333</v>
      </c>
      <c r="E23" s="70">
        <f t="shared" ref="E23:E69" si="1">1.5%*H22</f>
        <v>166776.42820917629</v>
      </c>
      <c r="F23" s="70">
        <f>D23-E23</f>
        <v>16556.571790823713</v>
      </c>
      <c r="G23" s="70">
        <f>G22-F23</f>
        <v>1101871.9754875952</v>
      </c>
      <c r="H23" s="199">
        <f>H22-F23</f>
        <v>11101871.975487595</v>
      </c>
      <c r="K23" s="204">
        <v>2</v>
      </c>
      <c r="L23" s="213">
        <v>45717</v>
      </c>
      <c r="M23" s="214">
        <f t="shared" ref="M23:M57" si="2">PMT(0.01,36,-5000000)</f>
        <v>166071.54906425596</v>
      </c>
      <c r="N23" s="214">
        <f>P22*1%</f>
        <v>48839.284509357436</v>
      </c>
      <c r="O23" s="214">
        <f>Wesel[[#This Row],[Angsuran (Rp)]]-Wesel[[#This Row],[Bunga (Rp)]]</f>
        <v>117232.26455489852</v>
      </c>
      <c r="P23" s="215">
        <f>P22-Wesel[[#This Row],[Pokok (Rp)]]</f>
        <v>4766696.1863808455</v>
      </c>
    </row>
    <row r="24" spans="2:18">
      <c r="B24" s="204">
        <v>3</v>
      </c>
      <c r="C24" s="194">
        <v>46113</v>
      </c>
      <c r="D24" s="195">
        <f t="shared" si="0"/>
        <v>183333</v>
      </c>
      <c r="E24" s="70">
        <f t="shared" si="1"/>
        <v>166528.07963231392</v>
      </c>
      <c r="F24" s="70">
        <f t="shared" ref="F24:F69" si="3">D24-E24</f>
        <v>16804.920367686078</v>
      </c>
      <c r="G24" s="70">
        <f t="shared" ref="G24:G69" si="4">G23-F24</f>
        <v>1085067.0551199091</v>
      </c>
      <c r="H24" s="199">
        <f t="shared" ref="H24:H69" si="5">H23-F24</f>
        <v>11085067.055119909</v>
      </c>
      <c r="K24" s="204">
        <v>3</v>
      </c>
      <c r="L24" s="213">
        <v>45748</v>
      </c>
      <c r="M24" s="214">
        <f t="shared" si="2"/>
        <v>166071.54906425596</v>
      </c>
      <c r="N24" s="214">
        <f t="shared" ref="N24:N30" si="6">P23*1%</f>
        <v>47666.961863808458</v>
      </c>
      <c r="O24" s="214">
        <f>Wesel[[#This Row],[Angsuran (Rp)]]-Wesel[[#This Row],[Bunga (Rp)]]</f>
        <v>118404.58720044751</v>
      </c>
      <c r="P24" s="215">
        <f>P23-Wesel[[#This Row],[Pokok (Rp)]]</f>
        <v>4648291.5991803976</v>
      </c>
    </row>
    <row r="25" spans="2:18">
      <c r="B25" s="204">
        <v>4</v>
      </c>
      <c r="C25" s="194">
        <v>46143</v>
      </c>
      <c r="D25" s="195">
        <f t="shared" si="0"/>
        <v>183333</v>
      </c>
      <c r="E25" s="70">
        <f t="shared" si="1"/>
        <v>166276.00582679865</v>
      </c>
      <c r="F25" s="70">
        <f t="shared" si="3"/>
        <v>17056.994173201354</v>
      </c>
      <c r="G25" s="70">
        <f t="shared" si="4"/>
        <v>1068010.0609467078</v>
      </c>
      <c r="H25" s="199">
        <f t="shared" si="5"/>
        <v>11068010.060946709</v>
      </c>
      <c r="K25" s="204">
        <v>4</v>
      </c>
      <c r="L25" s="213">
        <v>45778</v>
      </c>
      <c r="M25" s="214">
        <f t="shared" si="2"/>
        <v>166071.54906425596</v>
      </c>
      <c r="N25" s="214">
        <f t="shared" si="6"/>
        <v>46482.915991803973</v>
      </c>
      <c r="O25" s="214">
        <f>Wesel[[#This Row],[Angsuran (Rp)]]-Wesel[[#This Row],[Bunga (Rp)]]</f>
        <v>119588.63307245198</v>
      </c>
      <c r="P25" s="215">
        <f>P24-Wesel[[#This Row],[Pokok (Rp)]]</f>
        <v>4528702.9661079459</v>
      </c>
    </row>
    <row r="26" spans="2:18">
      <c r="B26" s="204">
        <v>5</v>
      </c>
      <c r="C26" s="194">
        <v>46174</v>
      </c>
      <c r="D26" s="195">
        <f t="shared" si="0"/>
        <v>183333</v>
      </c>
      <c r="E26" s="70">
        <f t="shared" si="1"/>
        <v>166020.15091420061</v>
      </c>
      <c r="F26" s="70">
        <f t="shared" si="3"/>
        <v>17312.849085799389</v>
      </c>
      <c r="G26" s="70">
        <f t="shared" si="4"/>
        <v>1050697.2118609084</v>
      </c>
      <c r="H26" s="199">
        <f t="shared" si="5"/>
        <v>11050697.21186091</v>
      </c>
      <c r="K26" s="204">
        <v>5</v>
      </c>
      <c r="L26" s="213">
        <v>45809</v>
      </c>
      <c r="M26" s="214">
        <f t="shared" si="2"/>
        <v>166071.54906425596</v>
      </c>
      <c r="N26" s="214">
        <f t="shared" si="6"/>
        <v>45287.029661079461</v>
      </c>
      <c r="O26" s="214">
        <f>Wesel[[#This Row],[Angsuran (Rp)]]-Wesel[[#This Row],[Bunga (Rp)]]</f>
        <v>120784.5194031765</v>
      </c>
      <c r="P26" s="215">
        <f>P25-Wesel[[#This Row],[Pokok (Rp)]]</f>
        <v>4407918.4467047695</v>
      </c>
    </row>
    <row r="27" spans="2:18">
      <c r="B27" s="204">
        <v>6</v>
      </c>
      <c r="C27" s="194">
        <v>46204</v>
      </c>
      <c r="D27" s="195">
        <f t="shared" si="0"/>
        <v>183333</v>
      </c>
      <c r="E27" s="70">
        <f t="shared" si="1"/>
        <v>165760.45817791365</v>
      </c>
      <c r="F27" s="70">
        <f t="shared" si="3"/>
        <v>17572.54182208635</v>
      </c>
      <c r="G27" s="70">
        <f t="shared" si="4"/>
        <v>1033124.6700388221</v>
      </c>
      <c r="H27" s="199">
        <f t="shared" si="5"/>
        <v>11033124.670038823</v>
      </c>
      <c r="K27" s="204">
        <v>6</v>
      </c>
      <c r="L27" s="213">
        <v>45839</v>
      </c>
      <c r="M27" s="214">
        <f t="shared" si="2"/>
        <v>166071.54906425596</v>
      </c>
      <c r="N27" s="214">
        <f t="shared" si="6"/>
        <v>44079.184467047693</v>
      </c>
      <c r="O27" s="214">
        <f>Wesel[[#This Row],[Angsuran (Rp)]]-Wesel[[#This Row],[Bunga (Rp)]]</f>
        <v>121992.36459720827</v>
      </c>
      <c r="P27" s="215">
        <f>P26-Wesel[[#This Row],[Pokok (Rp)]]</f>
        <v>4285926.0821075616</v>
      </c>
    </row>
    <row r="28" spans="2:18">
      <c r="B28" s="204">
        <v>7</v>
      </c>
      <c r="C28" s="194">
        <v>46235</v>
      </c>
      <c r="D28" s="195">
        <f t="shared" si="0"/>
        <v>183333</v>
      </c>
      <c r="E28" s="70">
        <f t="shared" si="1"/>
        <v>165496.87005058234</v>
      </c>
      <c r="F28" s="70">
        <f t="shared" si="3"/>
        <v>17836.129949417664</v>
      </c>
      <c r="G28" s="70">
        <f t="shared" si="4"/>
        <v>1015288.5400894044</v>
      </c>
      <c r="H28" s="199">
        <f t="shared" si="5"/>
        <v>11015288.540089406</v>
      </c>
      <c r="K28" s="204">
        <v>7</v>
      </c>
      <c r="L28" s="213">
        <v>45870</v>
      </c>
      <c r="M28" s="214">
        <f t="shared" si="2"/>
        <v>166071.54906425596</v>
      </c>
      <c r="N28" s="214">
        <f t="shared" si="6"/>
        <v>42859.260821075615</v>
      </c>
      <c r="O28" s="214">
        <f>Wesel[[#This Row],[Angsuran (Rp)]]-Wesel[[#This Row],[Bunga (Rp)]]</f>
        <v>123212.28824318034</v>
      </c>
      <c r="P28" s="215">
        <f>P27-Wesel[[#This Row],[Pokok (Rp)]]</f>
        <v>4162713.7938643815</v>
      </c>
    </row>
    <row r="29" spans="2:18">
      <c r="B29" s="204">
        <v>8</v>
      </c>
      <c r="C29" s="194">
        <v>46266</v>
      </c>
      <c r="D29" s="195">
        <f t="shared" si="0"/>
        <v>183333</v>
      </c>
      <c r="E29" s="70">
        <f t="shared" si="1"/>
        <v>165229.32810134109</v>
      </c>
      <c r="F29" s="70">
        <f t="shared" si="3"/>
        <v>18103.671898658911</v>
      </c>
      <c r="G29" s="70">
        <f t="shared" si="4"/>
        <v>997184.86819074559</v>
      </c>
      <c r="H29" s="199">
        <f t="shared" si="5"/>
        <v>10997184.868190747</v>
      </c>
      <c r="K29" s="204">
        <v>8</v>
      </c>
      <c r="L29" s="213">
        <v>45901</v>
      </c>
      <c r="M29" s="214">
        <f t="shared" si="2"/>
        <v>166071.54906425596</v>
      </c>
      <c r="N29" s="214">
        <f t="shared" si="6"/>
        <v>41627.137938643813</v>
      </c>
      <c r="O29" s="214">
        <f>Wesel[[#This Row],[Angsuran (Rp)]]-Wesel[[#This Row],[Bunga (Rp)]]</f>
        <v>124444.41112561215</v>
      </c>
      <c r="P29" s="215">
        <f>P28-Wesel[[#This Row],[Pokok (Rp)]]</f>
        <v>4038269.3827387695</v>
      </c>
    </row>
    <row r="30" spans="2:18">
      <c r="B30" s="204">
        <v>9</v>
      </c>
      <c r="C30" s="194">
        <v>46296</v>
      </c>
      <c r="D30" s="195">
        <f t="shared" si="0"/>
        <v>183333</v>
      </c>
      <c r="E30" s="70">
        <f t="shared" si="1"/>
        <v>164957.77302286119</v>
      </c>
      <c r="F30" s="70">
        <f t="shared" si="3"/>
        <v>18375.226977138809</v>
      </c>
      <c r="G30" s="70">
        <f t="shared" si="4"/>
        <v>978809.64121360681</v>
      </c>
      <c r="H30" s="199">
        <f t="shared" si="5"/>
        <v>10978809.641213607</v>
      </c>
      <c r="K30" s="204">
        <v>9</v>
      </c>
      <c r="L30" s="213">
        <v>45931</v>
      </c>
      <c r="M30" s="214">
        <f t="shared" si="2"/>
        <v>166071.54906425596</v>
      </c>
      <c r="N30" s="214">
        <f t="shared" si="6"/>
        <v>40382.693827387695</v>
      </c>
      <c r="O30" s="214">
        <f>Wesel[[#This Row],[Angsuran (Rp)]]-Wesel[[#This Row],[Bunga (Rp)]]</f>
        <v>125688.85523686826</v>
      </c>
      <c r="P30" s="215">
        <f>P29-Wesel[[#This Row],[Pokok (Rp)]]</f>
        <v>3912580.5275019011</v>
      </c>
    </row>
    <row r="31" spans="2:18">
      <c r="B31" s="204">
        <v>10</v>
      </c>
      <c r="C31" s="194">
        <v>46327</v>
      </c>
      <c r="D31" s="195">
        <f t="shared" si="0"/>
        <v>183333</v>
      </c>
      <c r="E31" s="70">
        <f t="shared" si="1"/>
        <v>164682.1446182041</v>
      </c>
      <c r="F31" s="70">
        <f t="shared" si="3"/>
        <v>18650.855381795904</v>
      </c>
      <c r="G31" s="70">
        <f t="shared" si="4"/>
        <v>960158.78583181091</v>
      </c>
      <c r="H31" s="199">
        <f t="shared" si="5"/>
        <v>10960158.785831811</v>
      </c>
      <c r="K31" s="204">
        <v>10</v>
      </c>
      <c r="L31" s="213">
        <v>45962</v>
      </c>
      <c r="M31" s="214">
        <f t="shared" si="2"/>
        <v>166071.54906425596</v>
      </c>
      <c r="N31" s="214">
        <f>P30*1%</f>
        <v>39125.805275019011</v>
      </c>
      <c r="O31" s="214">
        <f>Wesel[[#This Row],[Angsuran (Rp)]]-Wesel[[#This Row],[Bunga (Rp)]]</f>
        <v>126945.74378923695</v>
      </c>
      <c r="P31" s="215">
        <f>P30-Wesel[[#This Row],[Pokok (Rp)]]</f>
        <v>3785634.7837126642</v>
      </c>
    </row>
    <row r="32" spans="2:18">
      <c r="B32" s="204">
        <v>11</v>
      </c>
      <c r="C32" s="194">
        <v>46357</v>
      </c>
      <c r="D32" s="195">
        <f t="shared" si="0"/>
        <v>183333</v>
      </c>
      <c r="E32" s="70">
        <f t="shared" si="1"/>
        <v>164402.38178747715</v>
      </c>
      <c r="F32" s="70">
        <f t="shared" si="3"/>
        <v>18930.618212522852</v>
      </c>
      <c r="G32" s="70">
        <f t="shared" si="4"/>
        <v>941228.16761928808</v>
      </c>
      <c r="H32" s="199">
        <f t="shared" si="5"/>
        <v>10941228.167619288</v>
      </c>
      <c r="K32" s="204">
        <v>11</v>
      </c>
      <c r="L32" s="213">
        <v>45992</v>
      </c>
      <c r="M32" s="214">
        <f t="shared" si="2"/>
        <v>166071.54906425596</v>
      </c>
      <c r="N32" s="214">
        <f t="shared" ref="N32:N44" si="7">P31*1%</f>
        <v>37856.347837126639</v>
      </c>
      <c r="O32" s="214">
        <f>Wesel[[#This Row],[Angsuran (Rp)]]-Wesel[[#This Row],[Bunga (Rp)]]</f>
        <v>128215.20122712932</v>
      </c>
      <c r="P32" s="215">
        <f>P31-Wesel[[#This Row],[Pokok (Rp)]]</f>
        <v>3657419.5824855347</v>
      </c>
    </row>
    <row r="33" spans="2:16">
      <c r="B33" s="204">
        <v>12</v>
      </c>
      <c r="C33" s="194">
        <v>46388</v>
      </c>
      <c r="D33" s="195">
        <f t="shared" si="0"/>
        <v>183333</v>
      </c>
      <c r="E33" s="70">
        <f t="shared" si="1"/>
        <v>164118.42251428933</v>
      </c>
      <c r="F33" s="70">
        <f t="shared" si="3"/>
        <v>19214.577485710673</v>
      </c>
      <c r="G33" s="70">
        <f t="shared" si="4"/>
        <v>922013.59013357735</v>
      </c>
      <c r="H33" s="199">
        <f t="shared" si="5"/>
        <v>10922013.590133578</v>
      </c>
      <c r="K33" s="204">
        <v>12</v>
      </c>
      <c r="L33" s="213">
        <v>46023</v>
      </c>
      <c r="M33" s="214">
        <f t="shared" si="2"/>
        <v>166071.54906425596</v>
      </c>
      <c r="N33" s="214">
        <f t="shared" si="7"/>
        <v>36574.195824855349</v>
      </c>
      <c r="O33" s="214">
        <f>Wesel[[#This Row],[Angsuran (Rp)]]-Wesel[[#This Row],[Bunga (Rp)]]</f>
        <v>129497.3532394006</v>
      </c>
      <c r="P33" s="215">
        <f>P32-Wesel[[#This Row],[Pokok (Rp)]]</f>
        <v>3527922.2292461339</v>
      </c>
    </row>
    <row r="34" spans="2:16">
      <c r="B34" s="204">
        <v>13</v>
      </c>
      <c r="C34" s="194">
        <v>46419</v>
      </c>
      <c r="D34" s="195">
        <f t="shared" si="0"/>
        <v>183333</v>
      </c>
      <c r="E34" s="70">
        <f t="shared" si="1"/>
        <v>163830.20385200364</v>
      </c>
      <c r="F34" s="70">
        <f t="shared" si="3"/>
        <v>19502.796147996356</v>
      </c>
      <c r="G34" s="70">
        <f t="shared" si="4"/>
        <v>902510.79398558103</v>
      </c>
      <c r="H34" s="199">
        <f t="shared" si="5"/>
        <v>10902510.793985581</v>
      </c>
      <c r="K34" s="204">
        <v>13</v>
      </c>
      <c r="L34" s="213">
        <v>46054</v>
      </c>
      <c r="M34" s="214">
        <f t="shared" si="2"/>
        <v>166071.54906425596</v>
      </c>
      <c r="N34" s="214">
        <f t="shared" si="7"/>
        <v>35279.222292461338</v>
      </c>
      <c r="O34" s="214">
        <f>Wesel[[#This Row],[Angsuran (Rp)]]-Wesel[[#This Row],[Bunga (Rp)]]</f>
        <v>130792.32677179461</v>
      </c>
      <c r="P34" s="215">
        <f>P33-Wesel[[#This Row],[Pokok (Rp)]]</f>
        <v>3397129.9024743391</v>
      </c>
    </row>
    <row r="35" spans="2:16">
      <c r="B35" s="204">
        <v>14</v>
      </c>
      <c r="C35" s="194">
        <v>46447</v>
      </c>
      <c r="D35" s="195">
        <f t="shared" si="0"/>
        <v>183333</v>
      </c>
      <c r="E35" s="70">
        <f t="shared" si="1"/>
        <v>163537.6619097837</v>
      </c>
      <c r="F35" s="70">
        <f t="shared" si="3"/>
        <v>19795.338090216304</v>
      </c>
      <c r="G35" s="70">
        <f t="shared" si="4"/>
        <v>882715.45589536475</v>
      </c>
      <c r="H35" s="199">
        <f t="shared" si="5"/>
        <v>10882715.455895364</v>
      </c>
      <c r="K35" s="204">
        <v>14</v>
      </c>
      <c r="L35" s="213">
        <v>46082</v>
      </c>
      <c r="M35" s="214">
        <f t="shared" si="2"/>
        <v>166071.54906425596</v>
      </c>
      <c r="N35" s="214">
        <f t="shared" si="7"/>
        <v>33971.299024743392</v>
      </c>
      <c r="O35" s="214">
        <f>Wesel[[#This Row],[Angsuran (Rp)]]-Wesel[[#This Row],[Bunga (Rp)]]</f>
        <v>132100.25003951258</v>
      </c>
      <c r="P35" s="215">
        <f>P34-Wesel[[#This Row],[Pokok (Rp)]]</f>
        <v>3265029.6524348264</v>
      </c>
    </row>
    <row r="36" spans="2:16">
      <c r="B36" s="204">
        <v>15</v>
      </c>
      <c r="C36" s="194">
        <v>46478</v>
      </c>
      <c r="D36" s="195">
        <f t="shared" si="0"/>
        <v>183333</v>
      </c>
      <c r="E36" s="70">
        <f t="shared" si="1"/>
        <v>163240.73183843045</v>
      </c>
      <c r="F36" s="70">
        <f t="shared" si="3"/>
        <v>20092.268161569547</v>
      </c>
      <c r="G36" s="70">
        <f t="shared" si="4"/>
        <v>862623.18773379526</v>
      </c>
      <c r="H36" s="199">
        <f t="shared" si="5"/>
        <v>10862623.187733795</v>
      </c>
      <c r="K36" s="204">
        <v>15</v>
      </c>
      <c r="L36" s="213">
        <v>46113</v>
      </c>
      <c r="M36" s="214">
        <f t="shared" si="2"/>
        <v>166071.54906425596</v>
      </c>
      <c r="N36" s="214">
        <f t="shared" si="7"/>
        <v>32650.296524348265</v>
      </c>
      <c r="O36" s="214">
        <f>Wesel[[#This Row],[Angsuran (Rp)]]-Wesel[[#This Row],[Bunga (Rp)]]</f>
        <v>133421.2525399077</v>
      </c>
      <c r="P36" s="215">
        <f>P35-Wesel[[#This Row],[Pokok (Rp)]]</f>
        <v>3131608.3998949188</v>
      </c>
    </row>
    <row r="37" spans="2:16">
      <c r="B37" s="204">
        <v>16</v>
      </c>
      <c r="C37" s="194">
        <v>46508</v>
      </c>
      <c r="D37" s="195">
        <f t="shared" si="0"/>
        <v>183333</v>
      </c>
      <c r="E37" s="70">
        <f t="shared" si="1"/>
        <v>162939.34781600692</v>
      </c>
      <c r="F37" s="70">
        <f t="shared" si="3"/>
        <v>20393.652183993079</v>
      </c>
      <c r="G37" s="70">
        <f t="shared" si="4"/>
        <v>842229.53554980224</v>
      </c>
      <c r="H37" s="199">
        <f t="shared" si="5"/>
        <v>10842229.535549803</v>
      </c>
      <c r="K37" s="204">
        <v>16</v>
      </c>
      <c r="L37" s="213">
        <v>46143</v>
      </c>
      <c r="M37" s="214">
        <f t="shared" si="2"/>
        <v>166071.54906425596</v>
      </c>
      <c r="N37" s="214">
        <f t="shared" si="7"/>
        <v>31316.083998949187</v>
      </c>
      <c r="O37" s="214">
        <f>Wesel[[#This Row],[Angsuran (Rp)]]-Wesel[[#This Row],[Bunga (Rp)]]</f>
        <v>134755.46506530678</v>
      </c>
      <c r="P37" s="215">
        <f>P36-Wesel[[#This Row],[Pokok (Rp)]]</f>
        <v>2996852.9348296118</v>
      </c>
    </row>
    <row r="38" spans="2:16">
      <c r="B38" s="204">
        <v>17</v>
      </c>
      <c r="C38" s="194">
        <v>46539</v>
      </c>
      <c r="D38" s="195">
        <f t="shared" si="0"/>
        <v>183333</v>
      </c>
      <c r="E38" s="70">
        <f t="shared" si="1"/>
        <v>162633.44303324702</v>
      </c>
      <c r="F38" s="70">
        <f t="shared" si="3"/>
        <v>20699.556966752978</v>
      </c>
      <c r="G38" s="70">
        <f t="shared" si="4"/>
        <v>821529.97858304926</v>
      </c>
      <c r="H38" s="199">
        <f t="shared" si="5"/>
        <v>10821529.978583049</v>
      </c>
      <c r="K38" s="204">
        <v>17</v>
      </c>
      <c r="L38" s="213">
        <v>46174</v>
      </c>
      <c r="M38" s="214">
        <f t="shared" si="2"/>
        <v>166071.54906425596</v>
      </c>
      <c r="N38" s="214">
        <f t="shared" si="7"/>
        <v>29968.529348296117</v>
      </c>
      <c r="O38" s="214">
        <f>Wesel[[#This Row],[Angsuran (Rp)]]-Wesel[[#This Row],[Bunga (Rp)]]</f>
        <v>136103.01971595985</v>
      </c>
      <c r="P38" s="215">
        <f>P37-Wesel[[#This Row],[Pokok (Rp)]]</f>
        <v>2860749.9151136521</v>
      </c>
    </row>
    <row r="39" spans="2:16">
      <c r="B39" s="204">
        <v>18</v>
      </c>
      <c r="C39" s="194">
        <v>46569</v>
      </c>
      <c r="D39" s="195">
        <f t="shared" si="0"/>
        <v>183333</v>
      </c>
      <c r="E39" s="70">
        <f t="shared" si="1"/>
        <v>162322.94967874573</v>
      </c>
      <c r="F39" s="70">
        <f t="shared" si="3"/>
        <v>21010.050321254268</v>
      </c>
      <c r="G39" s="70">
        <f t="shared" si="4"/>
        <v>800519.92826179496</v>
      </c>
      <c r="H39" s="199">
        <f t="shared" si="5"/>
        <v>10800519.928261794</v>
      </c>
      <c r="K39" s="204">
        <v>18</v>
      </c>
      <c r="L39" s="213">
        <v>46204</v>
      </c>
      <c r="M39" s="214">
        <f t="shared" si="2"/>
        <v>166071.54906425596</v>
      </c>
      <c r="N39" s="214">
        <f t="shared" si="7"/>
        <v>28607.499151136522</v>
      </c>
      <c r="O39" s="214">
        <f>Wesel[[#This Row],[Angsuran (Rp)]]-Wesel[[#This Row],[Bunga (Rp)]]</f>
        <v>137464.04991311944</v>
      </c>
      <c r="P39" s="215">
        <f>P38-Wesel[[#This Row],[Pokok (Rp)]]</f>
        <v>2723285.8652005326</v>
      </c>
    </row>
    <row r="40" spans="2:16">
      <c r="B40" s="204">
        <v>19</v>
      </c>
      <c r="C40" s="194">
        <v>46600</v>
      </c>
      <c r="D40" s="195">
        <f t="shared" si="0"/>
        <v>183333</v>
      </c>
      <c r="E40" s="70">
        <f t="shared" si="1"/>
        <v>162007.79892392689</v>
      </c>
      <c r="F40" s="70">
        <f t="shared" si="3"/>
        <v>21325.201076073106</v>
      </c>
      <c r="G40" s="70">
        <f t="shared" si="4"/>
        <v>779194.72718572186</v>
      </c>
      <c r="H40" s="199">
        <f t="shared" si="5"/>
        <v>10779194.727185721</v>
      </c>
      <c r="K40" s="204">
        <v>19</v>
      </c>
      <c r="L40" s="213">
        <v>46235</v>
      </c>
      <c r="M40" s="214">
        <f t="shared" si="2"/>
        <v>166071.54906425596</v>
      </c>
      <c r="N40" s="214">
        <f t="shared" si="7"/>
        <v>27232.858652005325</v>
      </c>
      <c r="O40" s="214">
        <f>Wesel[[#This Row],[Angsuran (Rp)]]-Wesel[[#This Row],[Bunga (Rp)]]</f>
        <v>138838.69041225064</v>
      </c>
      <c r="P40" s="215">
        <f>P39-Wesel[[#This Row],[Pokok (Rp)]]</f>
        <v>2584447.1747882818</v>
      </c>
    </row>
    <row r="41" spans="2:16">
      <c r="B41" s="204">
        <v>20</v>
      </c>
      <c r="C41" s="194">
        <v>46631</v>
      </c>
      <c r="D41" s="195">
        <f t="shared" si="0"/>
        <v>183333</v>
      </c>
      <c r="E41" s="70">
        <f t="shared" si="1"/>
        <v>161687.9209077858</v>
      </c>
      <c r="F41" s="70">
        <f t="shared" si="3"/>
        <v>21645.079092214204</v>
      </c>
      <c r="G41" s="70">
        <f t="shared" si="4"/>
        <v>757549.64809350763</v>
      </c>
      <c r="H41" s="199">
        <f t="shared" si="5"/>
        <v>10757549.648093507</v>
      </c>
      <c r="K41" s="204">
        <v>20</v>
      </c>
      <c r="L41" s="213">
        <v>46266</v>
      </c>
      <c r="M41" s="214">
        <f t="shared" si="2"/>
        <v>166071.54906425596</v>
      </c>
      <c r="N41" s="214">
        <f t="shared" si="7"/>
        <v>25844.471747882817</v>
      </c>
      <c r="O41" s="214">
        <f>Wesel[[#This Row],[Angsuran (Rp)]]-Wesel[[#This Row],[Bunga (Rp)]]</f>
        <v>140227.07731637315</v>
      </c>
      <c r="P41" s="215">
        <f>P40-Wesel[[#This Row],[Pokok (Rp)]]</f>
        <v>2444220.0974719087</v>
      </c>
    </row>
    <row r="42" spans="2:16">
      <c r="B42" s="204">
        <v>21</v>
      </c>
      <c r="C42" s="194">
        <v>46661</v>
      </c>
      <c r="D42" s="195">
        <f t="shared" si="0"/>
        <v>183333</v>
      </c>
      <c r="E42" s="70">
        <f t="shared" si="1"/>
        <v>161363.24472140259</v>
      </c>
      <c r="F42" s="70">
        <f t="shared" si="3"/>
        <v>21969.755278597411</v>
      </c>
      <c r="G42" s="70">
        <f t="shared" si="4"/>
        <v>735579.89281491027</v>
      </c>
      <c r="H42" s="199">
        <f t="shared" si="5"/>
        <v>10735579.89281491</v>
      </c>
      <c r="K42" s="204">
        <v>21</v>
      </c>
      <c r="L42" s="213">
        <v>46296</v>
      </c>
      <c r="M42" s="214">
        <f t="shared" si="2"/>
        <v>166071.54906425596</v>
      </c>
      <c r="N42" s="214">
        <f t="shared" si="7"/>
        <v>24442.200974719086</v>
      </c>
      <c r="O42" s="214">
        <f>Wesel[[#This Row],[Angsuran (Rp)]]-Wesel[[#This Row],[Bunga (Rp)]]</f>
        <v>141629.34808953688</v>
      </c>
      <c r="P42" s="215">
        <f>P41-Wesel[[#This Row],[Pokok (Rp)]]</f>
        <v>2302590.749382372</v>
      </c>
    </row>
    <row r="43" spans="2:16">
      <c r="B43" s="204">
        <v>22</v>
      </c>
      <c r="C43" s="194">
        <v>46692</v>
      </c>
      <c r="D43" s="195">
        <f t="shared" si="0"/>
        <v>183333</v>
      </c>
      <c r="E43" s="70">
        <f t="shared" si="1"/>
        <v>161033.69839222365</v>
      </c>
      <c r="F43" s="70">
        <f t="shared" si="3"/>
        <v>22299.301607776346</v>
      </c>
      <c r="G43" s="70">
        <f t="shared" si="4"/>
        <v>713280.59120713396</v>
      </c>
      <c r="H43" s="199">
        <f t="shared" si="5"/>
        <v>10713280.591207134</v>
      </c>
      <c r="K43" s="204">
        <v>22</v>
      </c>
      <c r="L43" s="213">
        <v>46327</v>
      </c>
      <c r="M43" s="214">
        <f t="shared" si="2"/>
        <v>166071.54906425596</v>
      </c>
      <c r="N43" s="214">
        <f t="shared" si="7"/>
        <v>23025.907493823721</v>
      </c>
      <c r="O43" s="214">
        <f>Wesel[[#This Row],[Angsuran (Rp)]]-Wesel[[#This Row],[Bunga (Rp)]]</f>
        <v>143045.64157043223</v>
      </c>
      <c r="P43" s="215">
        <f>P42-Wesel[[#This Row],[Pokok (Rp)]]</f>
        <v>2159545.1078119399</v>
      </c>
    </row>
    <row r="44" spans="2:16">
      <c r="B44" s="204">
        <v>23</v>
      </c>
      <c r="C44" s="194">
        <v>46722</v>
      </c>
      <c r="D44" s="195">
        <f t="shared" si="0"/>
        <v>183333</v>
      </c>
      <c r="E44" s="70">
        <f t="shared" si="1"/>
        <v>160699.208868107</v>
      </c>
      <c r="F44" s="70">
        <f t="shared" si="3"/>
        <v>22633.791131892998</v>
      </c>
      <c r="G44" s="70">
        <f t="shared" si="4"/>
        <v>690646.8000752409</v>
      </c>
      <c r="H44" s="199">
        <f t="shared" si="5"/>
        <v>10690646.80007524</v>
      </c>
      <c r="K44" s="204">
        <v>23</v>
      </c>
      <c r="L44" s="213">
        <v>46357</v>
      </c>
      <c r="M44" s="214">
        <f t="shared" si="2"/>
        <v>166071.54906425596</v>
      </c>
      <c r="N44" s="214">
        <f t="shared" si="7"/>
        <v>21595.4510781194</v>
      </c>
      <c r="O44" s="214">
        <f>Wesel[[#This Row],[Angsuran (Rp)]]-Wesel[[#This Row],[Bunga (Rp)]]</f>
        <v>144476.09798613656</v>
      </c>
      <c r="P44" s="215">
        <f>P43-Wesel[[#This Row],[Pokok (Rp)]]</f>
        <v>2015069.0098258033</v>
      </c>
    </row>
    <row r="45" spans="2:16">
      <c r="B45" s="204">
        <v>24</v>
      </c>
      <c r="C45" s="194">
        <v>46753</v>
      </c>
      <c r="D45" s="195">
        <f t="shared" si="0"/>
        <v>183333</v>
      </c>
      <c r="E45" s="70">
        <f t="shared" si="1"/>
        <v>160359.70200112861</v>
      </c>
      <c r="F45" s="70">
        <f t="shared" si="3"/>
        <v>22973.297998871392</v>
      </c>
      <c r="G45" s="70">
        <f t="shared" si="4"/>
        <v>667673.50207636948</v>
      </c>
      <c r="H45" s="199">
        <f t="shared" si="5"/>
        <v>10667673.502076369</v>
      </c>
      <c r="K45" s="204">
        <v>24</v>
      </c>
      <c r="L45" s="213">
        <v>46388</v>
      </c>
      <c r="M45" s="214">
        <f t="shared" si="2"/>
        <v>166071.54906425596</v>
      </c>
      <c r="N45" s="214">
        <f t="shared" ref="N45:N57" si="8">P44*1%</f>
        <v>20150.690098258034</v>
      </c>
      <c r="O45" s="214">
        <f>Wesel[[#This Row],[Angsuran (Rp)]]-Wesel[[#This Row],[Bunga (Rp)]]</f>
        <v>145920.85896599793</v>
      </c>
      <c r="P45" s="215">
        <f>P44-Wesel[[#This Row],[Pokok (Rp)]]</f>
        <v>1869148.1508598053</v>
      </c>
    </row>
    <row r="46" spans="2:16">
      <c r="B46" s="204">
        <v>25</v>
      </c>
      <c r="C46" s="194">
        <v>46784</v>
      </c>
      <c r="D46" s="195">
        <f t="shared" si="0"/>
        <v>183333</v>
      </c>
      <c r="E46" s="70">
        <f t="shared" si="1"/>
        <v>160015.10253114553</v>
      </c>
      <c r="F46" s="70">
        <f t="shared" si="3"/>
        <v>23317.897468854469</v>
      </c>
      <c r="G46" s="70">
        <f t="shared" si="4"/>
        <v>644355.60460751504</v>
      </c>
      <c r="H46" s="199">
        <f t="shared" si="5"/>
        <v>10644355.604607515</v>
      </c>
      <c r="K46" s="204">
        <v>25</v>
      </c>
      <c r="L46" s="213">
        <v>46419</v>
      </c>
      <c r="M46" s="214">
        <f t="shared" si="2"/>
        <v>166071.54906425596</v>
      </c>
      <c r="N46" s="214">
        <f t="shared" si="8"/>
        <v>18691.481508598052</v>
      </c>
      <c r="O46" s="214">
        <f>Wesel[[#This Row],[Angsuran (Rp)]]-Wesel[[#This Row],[Bunga (Rp)]]</f>
        <v>147380.06755565791</v>
      </c>
      <c r="P46" s="215">
        <f>P45-Wesel[[#This Row],[Pokok (Rp)]]</f>
        <v>1721768.0833041475</v>
      </c>
    </row>
    <row r="47" spans="2:16">
      <c r="B47" s="204">
        <v>26</v>
      </c>
      <c r="C47" s="194">
        <v>46813</v>
      </c>
      <c r="D47" s="195">
        <f t="shared" si="0"/>
        <v>183333</v>
      </c>
      <c r="E47" s="70">
        <f t="shared" si="1"/>
        <v>159665.33406911272</v>
      </c>
      <c r="F47" s="70">
        <f t="shared" si="3"/>
        <v>23667.665930887277</v>
      </c>
      <c r="G47" s="70">
        <f t="shared" si="4"/>
        <v>620687.93867662782</v>
      </c>
      <c r="H47" s="199">
        <f t="shared" si="5"/>
        <v>10620687.938676627</v>
      </c>
      <c r="K47" s="204">
        <v>26</v>
      </c>
      <c r="L47" s="213">
        <v>46447</v>
      </c>
      <c r="M47" s="214">
        <f t="shared" si="2"/>
        <v>166071.54906425596</v>
      </c>
      <c r="N47" s="214">
        <f t="shared" si="8"/>
        <v>17217.680833041475</v>
      </c>
      <c r="O47" s="214">
        <f>Wesel[[#This Row],[Angsuran (Rp)]]-Wesel[[#This Row],[Bunga (Rp)]]</f>
        <v>148853.8682312145</v>
      </c>
      <c r="P47" s="215">
        <f>P46-Wesel[[#This Row],[Pokok (Rp)]]</f>
        <v>1572914.2150729329</v>
      </c>
    </row>
    <row r="48" spans="2:16">
      <c r="B48" s="204">
        <v>27</v>
      </c>
      <c r="C48" s="194">
        <v>46844</v>
      </c>
      <c r="D48" s="195">
        <f t="shared" si="0"/>
        <v>183333</v>
      </c>
      <c r="E48" s="70">
        <f t="shared" si="1"/>
        <v>159310.31908014941</v>
      </c>
      <c r="F48" s="70">
        <f t="shared" si="3"/>
        <v>24022.680919850594</v>
      </c>
      <c r="G48" s="70">
        <f t="shared" si="4"/>
        <v>596665.25775677722</v>
      </c>
      <c r="H48" s="199">
        <f t="shared" si="5"/>
        <v>10596665.257756777</v>
      </c>
      <c r="K48" s="204">
        <v>27</v>
      </c>
      <c r="L48" s="213">
        <v>46478</v>
      </c>
      <c r="M48" s="214">
        <f t="shared" si="2"/>
        <v>166071.54906425596</v>
      </c>
      <c r="N48" s="214">
        <f t="shared" si="8"/>
        <v>15729.142150729329</v>
      </c>
      <c r="O48" s="214">
        <f>Wesel[[#This Row],[Angsuran (Rp)]]-Wesel[[#This Row],[Bunga (Rp)]]</f>
        <v>150342.40691352662</v>
      </c>
      <c r="P48" s="215">
        <f>P47-Wesel[[#This Row],[Pokok (Rp)]]</f>
        <v>1422571.8081594063</v>
      </c>
    </row>
    <row r="49" spans="2:16">
      <c r="B49" s="204">
        <v>28</v>
      </c>
      <c r="C49" s="194">
        <v>46874</v>
      </c>
      <c r="D49" s="195">
        <f t="shared" si="0"/>
        <v>183333</v>
      </c>
      <c r="E49" s="70">
        <f t="shared" si="1"/>
        <v>158949.97886635165</v>
      </c>
      <c r="F49" s="70">
        <f t="shared" si="3"/>
        <v>24383.021133648348</v>
      </c>
      <c r="G49" s="70">
        <f t="shared" si="4"/>
        <v>572282.23662312888</v>
      </c>
      <c r="H49" s="199">
        <f t="shared" si="5"/>
        <v>10572282.236623129</v>
      </c>
      <c r="K49" s="204">
        <v>28</v>
      </c>
      <c r="L49" s="213">
        <v>46508</v>
      </c>
      <c r="M49" s="214">
        <f t="shared" si="2"/>
        <v>166071.54906425596</v>
      </c>
      <c r="N49" s="214">
        <f t="shared" si="8"/>
        <v>14225.718081594063</v>
      </c>
      <c r="O49" s="214">
        <f>Wesel[[#This Row],[Angsuran (Rp)]]-Wesel[[#This Row],[Bunga (Rp)]]</f>
        <v>151845.83098266189</v>
      </c>
      <c r="P49" s="215">
        <f>P48-Wesel[[#This Row],[Pokok (Rp)]]</f>
        <v>1270725.9771767445</v>
      </c>
    </row>
    <row r="50" spans="2:16">
      <c r="B50" s="204">
        <v>29</v>
      </c>
      <c r="C50" s="194">
        <v>46905</v>
      </c>
      <c r="D50" s="195">
        <f t="shared" si="0"/>
        <v>183333</v>
      </c>
      <c r="E50" s="70">
        <f t="shared" si="1"/>
        <v>158584.23354934691</v>
      </c>
      <c r="F50" s="70">
        <f t="shared" si="3"/>
        <v>24748.766450653085</v>
      </c>
      <c r="G50" s="70">
        <f t="shared" si="4"/>
        <v>547533.47017247579</v>
      </c>
      <c r="H50" s="199">
        <f t="shared" si="5"/>
        <v>10547533.470172476</v>
      </c>
      <c r="K50" s="204">
        <v>29</v>
      </c>
      <c r="L50" s="213">
        <v>46539</v>
      </c>
      <c r="M50" s="214">
        <f t="shared" si="2"/>
        <v>166071.54906425596</v>
      </c>
      <c r="N50" s="214">
        <f t="shared" si="8"/>
        <v>12707.259771767445</v>
      </c>
      <c r="O50" s="214">
        <f>Wesel[[#This Row],[Angsuran (Rp)]]-Wesel[[#This Row],[Bunga (Rp)]]</f>
        <v>153364.28929248851</v>
      </c>
      <c r="P50" s="215">
        <f>P49-Wesel[[#This Row],[Pokok (Rp)]]</f>
        <v>1117361.687884256</v>
      </c>
    </row>
    <row r="51" spans="2:16">
      <c r="B51" s="204">
        <v>30</v>
      </c>
      <c r="C51" s="194">
        <v>46935</v>
      </c>
      <c r="D51" s="195">
        <f t="shared" si="0"/>
        <v>183333</v>
      </c>
      <c r="E51" s="70">
        <f t="shared" si="1"/>
        <v>158213.00205258714</v>
      </c>
      <c r="F51" s="70">
        <f t="shared" si="3"/>
        <v>25119.997947412863</v>
      </c>
      <c r="G51" s="70">
        <f t="shared" si="4"/>
        <v>522413.4722250629</v>
      </c>
      <c r="H51" s="199">
        <f t="shared" si="5"/>
        <v>10522413.472225063</v>
      </c>
      <c r="K51" s="204">
        <v>30</v>
      </c>
      <c r="L51" s="213">
        <v>46569</v>
      </c>
      <c r="M51" s="214">
        <f t="shared" si="2"/>
        <v>166071.54906425596</v>
      </c>
      <c r="N51" s="214">
        <f t="shared" si="8"/>
        <v>11173.61687884256</v>
      </c>
      <c r="O51" s="214">
        <f>Wesel[[#This Row],[Angsuran (Rp)]]-Wesel[[#This Row],[Bunga (Rp)]]</f>
        <v>154897.9321854134</v>
      </c>
      <c r="P51" s="215">
        <f>P50-Wesel[[#This Row],[Pokok (Rp)]]</f>
        <v>962463.75569884258</v>
      </c>
    </row>
    <row r="52" spans="2:16">
      <c r="B52" s="204">
        <v>31</v>
      </c>
      <c r="C52" s="194">
        <v>46966</v>
      </c>
      <c r="D52" s="195">
        <f t="shared" si="0"/>
        <v>183333</v>
      </c>
      <c r="E52" s="70">
        <f t="shared" si="1"/>
        <v>157836.20208337595</v>
      </c>
      <c r="F52" s="70">
        <f t="shared" si="3"/>
        <v>25496.797916624055</v>
      </c>
      <c r="G52" s="70">
        <f t="shared" si="4"/>
        <v>496916.67430843884</v>
      </c>
      <c r="H52" s="199">
        <f t="shared" si="5"/>
        <v>10496916.674308438</v>
      </c>
      <c r="K52" s="204">
        <v>31</v>
      </c>
      <c r="L52" s="213">
        <v>46600</v>
      </c>
      <c r="M52" s="214">
        <f t="shared" si="2"/>
        <v>166071.54906425596</v>
      </c>
      <c r="N52" s="214">
        <f t="shared" si="8"/>
        <v>9624.6375569884258</v>
      </c>
      <c r="O52" s="214">
        <f>Wesel[[#This Row],[Angsuran (Rp)]]-Wesel[[#This Row],[Bunga (Rp)]]</f>
        <v>156446.91150726753</v>
      </c>
      <c r="P52" s="215">
        <f>P51-Wesel[[#This Row],[Pokok (Rp)]]</f>
        <v>806016.84419157507</v>
      </c>
    </row>
    <row r="53" spans="2:16">
      <c r="B53" s="204">
        <v>32</v>
      </c>
      <c r="C53" s="194">
        <v>46997</v>
      </c>
      <c r="D53" s="195">
        <f t="shared" si="0"/>
        <v>183333</v>
      </c>
      <c r="E53" s="70">
        <f t="shared" si="1"/>
        <v>157453.75011462657</v>
      </c>
      <c r="F53" s="70">
        <f t="shared" si="3"/>
        <v>25879.249885373429</v>
      </c>
      <c r="G53" s="70">
        <f t="shared" si="4"/>
        <v>471037.42442306539</v>
      </c>
      <c r="H53" s="199">
        <f t="shared" si="5"/>
        <v>10471037.424423065</v>
      </c>
      <c r="K53" s="204">
        <v>32</v>
      </c>
      <c r="L53" s="213">
        <v>46631</v>
      </c>
      <c r="M53" s="214">
        <f t="shared" si="2"/>
        <v>166071.54906425596</v>
      </c>
      <c r="N53" s="214">
        <f t="shared" si="8"/>
        <v>8060.1684419157509</v>
      </c>
      <c r="O53" s="214">
        <f>Wesel[[#This Row],[Angsuran (Rp)]]-Wesel[[#This Row],[Bunga (Rp)]]</f>
        <v>158011.38062234022</v>
      </c>
      <c r="P53" s="215">
        <f>P52-Wesel[[#This Row],[Pokok (Rp)]]</f>
        <v>648005.46356923482</v>
      </c>
    </row>
    <row r="54" spans="2:16">
      <c r="B54" s="204">
        <v>33</v>
      </c>
      <c r="C54" s="194">
        <v>47027</v>
      </c>
      <c r="D54" s="195">
        <f t="shared" si="0"/>
        <v>183333</v>
      </c>
      <c r="E54" s="70">
        <f t="shared" si="1"/>
        <v>157065.56136634597</v>
      </c>
      <c r="F54" s="70">
        <f t="shared" si="3"/>
        <v>26267.438633654034</v>
      </c>
      <c r="G54" s="70">
        <f t="shared" si="4"/>
        <v>444769.98578941135</v>
      </c>
      <c r="H54" s="199">
        <f t="shared" si="5"/>
        <v>10444769.985789411</v>
      </c>
      <c r="K54" s="204">
        <v>33</v>
      </c>
      <c r="L54" s="213">
        <v>46661</v>
      </c>
      <c r="M54" s="214">
        <f t="shared" si="2"/>
        <v>166071.54906425596</v>
      </c>
      <c r="N54" s="214">
        <f t="shared" si="8"/>
        <v>6480.0546356923487</v>
      </c>
      <c r="O54" s="214">
        <f>Wesel[[#This Row],[Angsuran (Rp)]]-Wesel[[#This Row],[Bunga (Rp)]]</f>
        <v>159591.4944285636</v>
      </c>
      <c r="P54" s="215">
        <f>P53-Wesel[[#This Row],[Pokok (Rp)]]</f>
        <v>488413.96914067119</v>
      </c>
    </row>
    <row r="55" spans="2:16">
      <c r="B55" s="204">
        <v>34</v>
      </c>
      <c r="C55" s="194">
        <v>47058</v>
      </c>
      <c r="D55" s="195">
        <f t="shared" si="0"/>
        <v>183333</v>
      </c>
      <c r="E55" s="70">
        <f t="shared" si="1"/>
        <v>156671.54978684115</v>
      </c>
      <c r="F55" s="70">
        <f t="shared" si="3"/>
        <v>26661.450213158852</v>
      </c>
      <c r="G55" s="70">
        <f t="shared" si="4"/>
        <v>418108.5355762525</v>
      </c>
      <c r="H55" s="199">
        <f t="shared" si="5"/>
        <v>10418108.535576252</v>
      </c>
      <c r="K55" s="204">
        <v>34</v>
      </c>
      <c r="L55" s="213">
        <v>46692</v>
      </c>
      <c r="M55" s="214">
        <f t="shared" si="2"/>
        <v>166071.54906425596</v>
      </c>
      <c r="N55" s="214">
        <f t="shared" si="8"/>
        <v>4884.1396914067118</v>
      </c>
      <c r="O55" s="214">
        <f>Wesel[[#This Row],[Angsuran (Rp)]]-Wesel[[#This Row],[Bunga (Rp)]]</f>
        <v>161187.40937284924</v>
      </c>
      <c r="P55" s="215">
        <f>P54-Wesel[[#This Row],[Pokok (Rp)]]</f>
        <v>327226.55976782192</v>
      </c>
    </row>
    <row r="56" spans="2:16">
      <c r="B56" s="204">
        <v>35</v>
      </c>
      <c r="C56" s="194">
        <v>47088</v>
      </c>
      <c r="D56" s="195">
        <f t="shared" si="0"/>
        <v>183333</v>
      </c>
      <c r="E56" s="70">
        <f t="shared" si="1"/>
        <v>156271.62803364379</v>
      </c>
      <c r="F56" s="70">
        <f t="shared" si="3"/>
        <v>27061.371966356208</v>
      </c>
      <c r="G56" s="70">
        <f t="shared" si="4"/>
        <v>391047.16360989632</v>
      </c>
      <c r="H56" s="199">
        <f t="shared" si="5"/>
        <v>10391047.163609896</v>
      </c>
      <c r="K56" s="204">
        <v>35</v>
      </c>
      <c r="L56" s="213">
        <v>46722</v>
      </c>
      <c r="M56" s="214">
        <f t="shared" si="2"/>
        <v>166071.54906425596</v>
      </c>
      <c r="N56" s="214">
        <f t="shared" si="8"/>
        <v>3272.2655976782194</v>
      </c>
      <c r="O56" s="214">
        <f>Wesel[[#This Row],[Angsuran (Rp)]]-Wesel[[#This Row],[Bunga (Rp)]]</f>
        <v>162799.28346657773</v>
      </c>
      <c r="P56" s="215">
        <f>P55-Wesel[[#This Row],[Pokok (Rp)]]</f>
        <v>164427.27630124419</v>
      </c>
    </row>
    <row r="57" spans="2:16">
      <c r="B57" s="204">
        <v>36</v>
      </c>
      <c r="C57" s="194">
        <v>47119</v>
      </c>
      <c r="D57" s="195">
        <f t="shared" si="0"/>
        <v>183333</v>
      </c>
      <c r="E57" s="70">
        <f t="shared" si="1"/>
        <v>155865.70745414842</v>
      </c>
      <c r="F57" s="70">
        <f t="shared" si="3"/>
        <v>27467.292545851582</v>
      </c>
      <c r="G57" s="70">
        <f t="shared" si="4"/>
        <v>363579.87106404477</v>
      </c>
      <c r="H57" s="199">
        <f t="shared" si="5"/>
        <v>10363579.871064045</v>
      </c>
      <c r="K57" s="205">
        <v>36</v>
      </c>
      <c r="L57" s="216">
        <v>46753</v>
      </c>
      <c r="M57" s="217">
        <f t="shared" si="2"/>
        <v>166071.54906425596</v>
      </c>
      <c r="N57" s="217">
        <f t="shared" si="8"/>
        <v>1644.2727630124418</v>
      </c>
      <c r="O57" s="217">
        <f>Wesel[[#This Row],[Angsuran (Rp)]]-Wesel[[#This Row],[Bunga (Rp)]]</f>
        <v>164427.27630124352</v>
      </c>
      <c r="P57" s="218">
        <f>P56-Wesel[[#This Row],[Pokok (Rp)]]</f>
        <v>6.6938810050487518E-10</v>
      </c>
    </row>
    <row r="58" spans="2:16">
      <c r="B58" s="204">
        <v>37</v>
      </c>
      <c r="C58" s="194">
        <v>47150</v>
      </c>
      <c r="D58" s="195">
        <f t="shared" si="0"/>
        <v>183333</v>
      </c>
      <c r="E58" s="70">
        <f t="shared" si="1"/>
        <v>155453.69806596066</v>
      </c>
      <c r="F58" s="70">
        <f t="shared" si="3"/>
        <v>27879.301934039337</v>
      </c>
      <c r="G58" s="70">
        <f t="shared" si="4"/>
        <v>335700.56913000543</v>
      </c>
      <c r="H58" s="199">
        <f t="shared" si="5"/>
        <v>10335700.569130005</v>
      </c>
    </row>
    <row r="59" spans="2:16">
      <c r="B59" s="204">
        <v>38</v>
      </c>
      <c r="C59" s="194">
        <v>47178</v>
      </c>
      <c r="D59" s="195">
        <f t="shared" si="0"/>
        <v>183333</v>
      </c>
      <c r="E59" s="70">
        <f t="shared" si="1"/>
        <v>155035.50853695007</v>
      </c>
      <c r="F59" s="70">
        <f t="shared" si="3"/>
        <v>28297.491463049926</v>
      </c>
      <c r="G59" s="70">
        <f t="shared" si="4"/>
        <v>307403.07766695553</v>
      </c>
      <c r="H59" s="199">
        <f t="shared" si="5"/>
        <v>10307403.077666955</v>
      </c>
    </row>
    <row r="60" spans="2:16">
      <c r="B60" s="204">
        <v>39</v>
      </c>
      <c r="C60" s="194">
        <v>47209</v>
      </c>
      <c r="D60" s="195">
        <f t="shared" si="0"/>
        <v>183333</v>
      </c>
      <c r="E60" s="70">
        <f t="shared" si="1"/>
        <v>154611.04616500431</v>
      </c>
      <c r="F60" s="70">
        <f t="shared" si="3"/>
        <v>28721.953834995686</v>
      </c>
      <c r="G60" s="70">
        <f t="shared" si="4"/>
        <v>278681.12383195985</v>
      </c>
      <c r="H60" s="199">
        <f t="shared" si="5"/>
        <v>10278681.123831959</v>
      </c>
    </row>
    <row r="61" spans="2:16">
      <c r="B61" s="204">
        <v>40</v>
      </c>
      <c r="C61" s="194">
        <v>47239</v>
      </c>
      <c r="D61" s="195">
        <f t="shared" si="0"/>
        <v>183333</v>
      </c>
      <c r="E61" s="70">
        <f t="shared" si="1"/>
        <v>154180.21685747939</v>
      </c>
      <c r="F61" s="70">
        <f t="shared" si="3"/>
        <v>29152.78314252061</v>
      </c>
      <c r="G61" s="70">
        <f t="shared" si="4"/>
        <v>249528.34068943924</v>
      </c>
      <c r="H61" s="199">
        <f t="shared" si="5"/>
        <v>10249528.340689439</v>
      </c>
    </row>
    <row r="62" spans="2:16">
      <c r="B62" s="204">
        <v>41</v>
      </c>
      <c r="C62" s="194">
        <v>47270</v>
      </c>
      <c r="D62" s="195">
        <f t="shared" si="0"/>
        <v>183333</v>
      </c>
      <c r="E62" s="70">
        <f t="shared" si="1"/>
        <v>153742.92511034157</v>
      </c>
      <c r="F62" s="70">
        <f t="shared" si="3"/>
        <v>29590.074889658426</v>
      </c>
      <c r="G62" s="70">
        <f t="shared" si="4"/>
        <v>219938.26579978081</v>
      </c>
      <c r="H62" s="199">
        <f t="shared" si="5"/>
        <v>10219938.265799781</v>
      </c>
    </row>
    <row r="63" spans="2:16">
      <c r="B63" s="204">
        <v>42</v>
      </c>
      <c r="C63" s="194">
        <v>47300</v>
      </c>
      <c r="D63" s="195">
        <f t="shared" si="0"/>
        <v>183333</v>
      </c>
      <c r="E63" s="70">
        <f t="shared" si="1"/>
        <v>153299.07398699672</v>
      </c>
      <c r="F63" s="70">
        <f t="shared" si="3"/>
        <v>30033.926013003278</v>
      </c>
      <c r="G63" s="70">
        <f t="shared" si="4"/>
        <v>189904.33978677753</v>
      </c>
      <c r="H63" s="199">
        <f t="shared" si="5"/>
        <v>10189904.339786777</v>
      </c>
    </row>
    <row r="64" spans="2:16">
      <c r="B64" s="204">
        <v>43</v>
      </c>
      <c r="C64" s="194">
        <v>47331</v>
      </c>
      <c r="D64" s="195">
        <f t="shared" si="0"/>
        <v>183333</v>
      </c>
      <c r="E64" s="70">
        <f t="shared" si="1"/>
        <v>152848.56509680164</v>
      </c>
      <c r="F64" s="70">
        <f t="shared" si="3"/>
        <v>30484.434903198358</v>
      </c>
      <c r="G64" s="70">
        <f t="shared" si="4"/>
        <v>159419.90488357918</v>
      </c>
      <c r="H64" s="199">
        <f t="shared" si="5"/>
        <v>10159419.904883578</v>
      </c>
    </row>
    <row r="65" spans="1:8">
      <c r="B65" s="204">
        <v>44</v>
      </c>
      <c r="C65" s="194">
        <v>47362</v>
      </c>
      <c r="D65" s="195">
        <f t="shared" si="0"/>
        <v>183333</v>
      </c>
      <c r="E65" s="70">
        <f t="shared" si="1"/>
        <v>152391.29857325368</v>
      </c>
      <c r="F65" s="70">
        <f t="shared" si="3"/>
        <v>30941.701426746324</v>
      </c>
      <c r="G65" s="70">
        <f t="shared" si="4"/>
        <v>128478.20345683285</v>
      </c>
      <c r="H65" s="199">
        <f t="shared" si="5"/>
        <v>10128478.203456832</v>
      </c>
    </row>
    <row r="66" spans="1:8">
      <c r="B66" s="204">
        <v>45</v>
      </c>
      <c r="C66" s="194">
        <v>47392</v>
      </c>
      <c r="D66" s="195">
        <f t="shared" si="0"/>
        <v>183333</v>
      </c>
      <c r="E66" s="70">
        <f t="shared" si="1"/>
        <v>151927.17305185247</v>
      </c>
      <c r="F66" s="70">
        <f t="shared" si="3"/>
        <v>31405.826948147529</v>
      </c>
      <c r="G66" s="70">
        <f t="shared" si="4"/>
        <v>97072.376508685324</v>
      </c>
      <c r="H66" s="199">
        <f t="shared" si="5"/>
        <v>10097072.376508685</v>
      </c>
    </row>
    <row r="67" spans="1:8">
      <c r="B67" s="204">
        <v>46</v>
      </c>
      <c r="C67" s="194">
        <v>47423</v>
      </c>
      <c r="D67" s="195">
        <f t="shared" si="0"/>
        <v>183333</v>
      </c>
      <c r="E67" s="70">
        <f t="shared" si="1"/>
        <v>151456.08564763027</v>
      </c>
      <c r="F67" s="70">
        <f t="shared" si="3"/>
        <v>31876.914352369728</v>
      </c>
      <c r="G67" s="70">
        <f t="shared" si="4"/>
        <v>65195.462156315596</v>
      </c>
      <c r="H67" s="199">
        <f t="shared" si="5"/>
        <v>10065195.462156314</v>
      </c>
    </row>
    <row r="68" spans="1:8">
      <c r="B68" s="204">
        <v>47</v>
      </c>
      <c r="C68" s="194">
        <v>47453</v>
      </c>
      <c r="D68" s="195">
        <f t="shared" si="0"/>
        <v>183333</v>
      </c>
      <c r="E68" s="70">
        <f t="shared" si="1"/>
        <v>150977.93193234471</v>
      </c>
      <c r="F68" s="70">
        <f t="shared" si="3"/>
        <v>32355.068067655287</v>
      </c>
      <c r="G68" s="70">
        <f t="shared" si="4"/>
        <v>32840.394088660309</v>
      </c>
      <c r="H68" s="199">
        <f t="shared" si="5"/>
        <v>10032840.394088659</v>
      </c>
    </row>
    <row r="69" spans="1:8">
      <c r="B69" s="205">
        <v>48</v>
      </c>
      <c r="C69" s="227">
        <v>47484</v>
      </c>
      <c r="D69" s="228">
        <f t="shared" si="0"/>
        <v>183333</v>
      </c>
      <c r="E69" s="201">
        <f t="shared" si="1"/>
        <v>150492.60591132988</v>
      </c>
      <c r="F69" s="201">
        <f t="shared" si="3"/>
        <v>32840.394088670117</v>
      </c>
      <c r="G69" s="201">
        <f t="shared" si="4"/>
        <v>-9.8079908639192581E-9</v>
      </c>
      <c r="H69" s="202">
        <f t="shared" si="5"/>
        <v>9999999.9999999888</v>
      </c>
    </row>
    <row r="75" spans="1:8" ht="21.75" thickBot="1">
      <c r="B75" s="188" t="s">
        <v>446</v>
      </c>
      <c r="C75" s="189"/>
      <c r="D75" s="189"/>
      <c r="E75" s="189"/>
      <c r="F75" s="189"/>
      <c r="G75" s="189"/>
      <c r="H75" s="189"/>
    </row>
    <row r="76" spans="1:8" ht="18.75" thickTop="1">
      <c r="B76" s="72" t="s">
        <v>349</v>
      </c>
    </row>
    <row r="77" spans="1:8">
      <c r="B77" s="114" t="s">
        <v>440</v>
      </c>
    </row>
    <row r="78" spans="1:8">
      <c r="B78" s="114" t="s">
        <v>441</v>
      </c>
      <c r="F78" s="146" t="s">
        <v>342</v>
      </c>
      <c r="G78" s="146" t="s">
        <v>343</v>
      </c>
      <c r="H78" s="146" t="s">
        <v>344</v>
      </c>
    </row>
    <row r="79" spans="1:8" ht="27" customHeight="1">
      <c r="B79" s="114" t="s">
        <v>442</v>
      </c>
      <c r="F79" s="91" t="s">
        <v>345</v>
      </c>
      <c r="G79" s="109" t="str">
        <f ca="1">_xlfn.FORMULATEXT(H79)</f>
        <v>=PV(1,5%;36;-125000;0;0)</v>
      </c>
      <c r="H79" s="94">
        <f>PV(1.5%,36,-125000,0,0)</f>
        <v>3457585.5388563005</v>
      </c>
    </row>
    <row r="80" spans="1:8" ht="25.5">
      <c r="A80">
        <f>15/12</f>
        <v>1.25</v>
      </c>
      <c r="B80" s="114" t="s">
        <v>443</v>
      </c>
      <c r="F80" s="91" t="s">
        <v>346</v>
      </c>
      <c r="G80" s="109" t="str">
        <f ca="1">_xlfn.FORMULATEXT(H80)</f>
        <v>=PV(1,5%;36;0;-10000000;0)</v>
      </c>
      <c r="H80" s="94">
        <f>PV(1.5%,36,0,-10000000,0)</f>
        <v>5850897.3533724397</v>
      </c>
    </row>
    <row r="81" spans="1:11">
      <c r="A81">
        <f>18/12</f>
        <v>1.5</v>
      </c>
      <c r="B81" s="114" t="s">
        <v>472</v>
      </c>
      <c r="F81" s="93" t="s">
        <v>347</v>
      </c>
      <c r="G81" s="109" t="s">
        <v>348</v>
      </c>
      <c r="H81" s="110">
        <f>SUM(H79:H80)</f>
        <v>9308482.8922287412</v>
      </c>
    </row>
    <row r="82" spans="1:11">
      <c r="B82" s="114" t="s">
        <v>473</v>
      </c>
      <c r="F82" s="147" t="s">
        <v>445</v>
      </c>
      <c r="G82" s="147"/>
      <c r="H82" s="148">
        <f>10000000-H81</f>
        <v>691517.1077712588</v>
      </c>
    </row>
    <row r="83" spans="1:11">
      <c r="B83" s="114" t="s">
        <v>370</v>
      </c>
    </row>
    <row r="85" spans="1:11" ht="36.75" customHeight="1">
      <c r="B85" s="229" t="s">
        <v>337</v>
      </c>
      <c r="C85" s="229" t="s">
        <v>63</v>
      </c>
      <c r="D85" s="206" t="s">
        <v>503</v>
      </c>
      <c r="E85" s="206" t="s">
        <v>461</v>
      </c>
      <c r="F85" s="206" t="s">
        <v>449</v>
      </c>
      <c r="G85" s="206" t="s">
        <v>444</v>
      </c>
      <c r="H85" s="207" t="s">
        <v>340</v>
      </c>
    </row>
    <row r="86" spans="1:11">
      <c r="B86" s="226">
        <v>0</v>
      </c>
      <c r="C86" s="194">
        <v>46023</v>
      </c>
      <c r="D86" s="185">
        <v>0</v>
      </c>
      <c r="E86" s="185">
        <v>0</v>
      </c>
      <c r="F86" s="185">
        <v>0</v>
      </c>
      <c r="G86" s="197">
        <f>H82</f>
        <v>691517.1077712588</v>
      </c>
      <c r="H86" s="198">
        <f>H81</f>
        <v>9308482.8922287412</v>
      </c>
    </row>
    <row r="87" spans="1:11">
      <c r="B87" s="204">
        <v>1</v>
      </c>
      <c r="C87" s="194">
        <v>46054</v>
      </c>
      <c r="D87" s="195">
        <f>1.25%*10000000</f>
        <v>125000</v>
      </c>
      <c r="E87" s="70">
        <f>1.5%*H86</f>
        <v>139627.24338343111</v>
      </c>
      <c r="F87" s="70">
        <f>Obligasi4[[#This Row],[Pendapatan Bunga]]-Obligasi4[[#This Row],[Bunga Diterima]]</f>
        <v>14627.243383431109</v>
      </c>
      <c r="G87" s="70">
        <f>G86-Obligasi4[[#This Row],[Amortisasi  Diskon]]</f>
        <v>676889.86438782769</v>
      </c>
      <c r="H87" s="199">
        <f>H86+Obligasi4[[#This Row],[Amortisasi  Diskon]]</f>
        <v>9323110.135612173</v>
      </c>
      <c r="J87" s="70"/>
    </row>
    <row r="88" spans="1:11">
      <c r="B88" s="204">
        <v>2</v>
      </c>
      <c r="C88" s="194">
        <v>46082</v>
      </c>
      <c r="D88" s="195">
        <f t="shared" ref="D88:D122" si="9">1.25%*10000000</f>
        <v>125000</v>
      </c>
      <c r="E88" s="70">
        <f t="shared" ref="E88:E122" si="10">1.5%*H87</f>
        <v>139846.6520341826</v>
      </c>
      <c r="F88" s="70">
        <f>Obligasi4[[#This Row],[Pendapatan Bunga]]-Obligasi4[[#This Row],[Bunga Diterima]]</f>
        <v>14846.652034182596</v>
      </c>
      <c r="G88" s="70">
        <f>G87-Obligasi4[[#This Row],[Amortisasi  Diskon]]</f>
        <v>662043.21235364513</v>
      </c>
      <c r="H88" s="199">
        <f>H87+Obligasi4[[#This Row],[Amortisasi  Diskon]]</f>
        <v>9337956.7876463551</v>
      </c>
      <c r="J88" s="70"/>
    </row>
    <row r="89" spans="1:11">
      <c r="B89" s="204">
        <v>3</v>
      </c>
      <c r="C89" s="194">
        <v>46113</v>
      </c>
      <c r="D89" s="195">
        <f t="shared" si="9"/>
        <v>125000</v>
      </c>
      <c r="E89" s="70">
        <f t="shared" si="10"/>
        <v>140069.35181469531</v>
      </c>
      <c r="F89" s="70">
        <f>Obligasi4[[#This Row],[Pendapatan Bunga]]-Obligasi4[[#This Row],[Bunga Diterima]]</f>
        <v>15069.351814695314</v>
      </c>
      <c r="G89" s="70">
        <f>G88-Obligasi4[[#This Row],[Amortisasi  Diskon]]</f>
        <v>646973.86053894984</v>
      </c>
      <c r="H89" s="199">
        <f>H88+Obligasi4[[#This Row],[Amortisasi  Diskon]]</f>
        <v>9353026.1394610498</v>
      </c>
      <c r="K89" s="221"/>
    </row>
    <row r="90" spans="1:11">
      <c r="B90" s="204">
        <v>4</v>
      </c>
      <c r="C90" s="194">
        <v>46143</v>
      </c>
      <c r="D90" s="195">
        <f t="shared" si="9"/>
        <v>125000</v>
      </c>
      <c r="E90" s="70">
        <f t="shared" si="10"/>
        <v>140295.39209191574</v>
      </c>
      <c r="F90" s="70">
        <f>Obligasi4[[#This Row],[Pendapatan Bunga]]-Obligasi4[[#This Row],[Bunga Diterima]]</f>
        <v>15295.392091915739</v>
      </c>
      <c r="G90" s="70">
        <f>G89-Obligasi4[[#This Row],[Amortisasi  Diskon]]</f>
        <v>631678.46844703413</v>
      </c>
      <c r="H90" s="199">
        <f>H89+Obligasi4[[#This Row],[Amortisasi  Diskon]]</f>
        <v>9368321.5315529648</v>
      </c>
    </row>
    <row r="91" spans="1:11">
      <c r="B91" s="204">
        <v>5</v>
      </c>
      <c r="C91" s="194">
        <v>46174</v>
      </c>
      <c r="D91" s="195">
        <f t="shared" si="9"/>
        <v>125000</v>
      </c>
      <c r="E91" s="70">
        <f t="shared" si="10"/>
        <v>140524.82297329447</v>
      </c>
      <c r="F91" s="70">
        <f>Obligasi4[[#This Row],[Pendapatan Bunga]]-Obligasi4[[#This Row],[Bunga Diterima]]</f>
        <v>15524.822973294475</v>
      </c>
      <c r="G91" s="70">
        <f>G90-Obligasi4[[#This Row],[Amortisasi  Diskon]]</f>
        <v>616153.6454737396</v>
      </c>
      <c r="H91" s="199">
        <f>H90+Obligasi4[[#This Row],[Amortisasi  Diskon]]</f>
        <v>9383846.354526259</v>
      </c>
      <c r="J91" s="70"/>
    </row>
    <row r="92" spans="1:11">
      <c r="B92" s="204">
        <v>6</v>
      </c>
      <c r="C92" s="194">
        <v>46204</v>
      </c>
      <c r="D92" s="195">
        <f t="shared" si="9"/>
        <v>125000</v>
      </c>
      <c r="E92" s="70">
        <f t="shared" si="10"/>
        <v>140757.69531789387</v>
      </c>
      <c r="F92" s="70">
        <f>Obligasi4[[#This Row],[Pendapatan Bunga]]-Obligasi4[[#This Row],[Bunga Diterima]]</f>
        <v>15757.695317893871</v>
      </c>
      <c r="G92" s="70">
        <f>G91-Obligasi4[[#This Row],[Amortisasi  Diskon]]</f>
        <v>600395.95015584573</v>
      </c>
      <c r="H92" s="199">
        <f>H91+Obligasi4[[#This Row],[Amortisasi  Diskon]]</f>
        <v>9399604.0498441532</v>
      </c>
      <c r="K92" s="70"/>
    </row>
    <row r="93" spans="1:11">
      <c r="B93" s="204">
        <v>7</v>
      </c>
      <c r="C93" s="194">
        <v>46235</v>
      </c>
      <c r="D93" s="195">
        <f t="shared" si="9"/>
        <v>125000</v>
      </c>
      <c r="E93" s="70">
        <f t="shared" si="10"/>
        <v>140994.0607476623</v>
      </c>
      <c r="F93" s="70">
        <f>Obligasi4[[#This Row],[Pendapatan Bunga]]-Obligasi4[[#This Row],[Bunga Diterima]]</f>
        <v>15994.060747662297</v>
      </c>
      <c r="G93" s="70">
        <f>G92-Obligasi4[[#This Row],[Amortisasi  Diskon]]</f>
        <v>584401.8894081834</v>
      </c>
      <c r="H93" s="199">
        <f>H92+Obligasi4[[#This Row],[Amortisasi  Diskon]]</f>
        <v>9415598.1105918158</v>
      </c>
      <c r="K93" s="221"/>
    </row>
    <row r="94" spans="1:11">
      <c r="B94" s="204">
        <v>8</v>
      </c>
      <c r="C94" s="194">
        <v>46266</v>
      </c>
      <c r="D94" s="195">
        <f t="shared" si="9"/>
        <v>125000</v>
      </c>
      <c r="E94" s="70">
        <f t="shared" si="10"/>
        <v>141233.97165887724</v>
      </c>
      <c r="F94" s="70">
        <f>Obligasi4[[#This Row],[Pendapatan Bunga]]-Obligasi4[[#This Row],[Bunga Diterima]]</f>
        <v>16233.971658877243</v>
      </c>
      <c r="G94" s="70">
        <f>G93-Obligasi4[[#This Row],[Amortisasi  Diskon]]</f>
        <v>568167.91774930619</v>
      </c>
      <c r="H94" s="199">
        <f>H93+Obligasi4[[#This Row],[Amortisasi  Diskon]]</f>
        <v>9431832.0822506938</v>
      </c>
    </row>
    <row r="95" spans="1:11">
      <c r="B95" s="204">
        <v>9</v>
      </c>
      <c r="C95" s="194">
        <v>46296</v>
      </c>
      <c r="D95" s="195">
        <f t="shared" si="9"/>
        <v>125000</v>
      </c>
      <c r="E95" s="70">
        <f t="shared" si="10"/>
        <v>141477.48123376039</v>
      </c>
      <c r="F95" s="70">
        <f>Obligasi4[[#This Row],[Pendapatan Bunga]]-Obligasi4[[#This Row],[Bunga Diterima]]</f>
        <v>16477.481233760394</v>
      </c>
      <c r="G95" s="70">
        <f>G94-Obligasi4[[#This Row],[Amortisasi  Diskon]]</f>
        <v>551690.43651554582</v>
      </c>
      <c r="H95" s="199">
        <f>H94+Obligasi4[[#This Row],[Amortisasi  Diskon]]</f>
        <v>9448309.5634844545</v>
      </c>
    </row>
    <row r="96" spans="1:11">
      <c r="B96" s="204">
        <v>10</v>
      </c>
      <c r="C96" s="194">
        <v>46327</v>
      </c>
      <c r="D96" s="195">
        <f t="shared" si="9"/>
        <v>125000</v>
      </c>
      <c r="E96" s="70">
        <f t="shared" si="10"/>
        <v>141724.64345226681</v>
      </c>
      <c r="F96" s="70">
        <f>Obligasi4[[#This Row],[Pendapatan Bunga]]-Obligasi4[[#This Row],[Bunga Diterima]]</f>
        <v>16724.643452266813</v>
      </c>
      <c r="G96" s="70">
        <f>G95-Obligasi4[[#This Row],[Amortisasi  Diskon]]</f>
        <v>534965.79306327901</v>
      </c>
      <c r="H96" s="199">
        <f>H95+Obligasi4[[#This Row],[Amortisasi  Diskon]]</f>
        <v>9465034.2069367208</v>
      </c>
    </row>
    <row r="97" spans="2:8">
      <c r="B97" s="204">
        <v>11</v>
      </c>
      <c r="C97" s="194">
        <v>46357</v>
      </c>
      <c r="D97" s="195">
        <f t="shared" si="9"/>
        <v>125000</v>
      </c>
      <c r="E97" s="70">
        <f t="shared" si="10"/>
        <v>141975.5131040508</v>
      </c>
      <c r="F97" s="70">
        <f>Obligasi4[[#This Row],[Pendapatan Bunga]]-Obligasi4[[#This Row],[Bunga Diterima]]</f>
        <v>16975.513104050799</v>
      </c>
      <c r="G97" s="70">
        <f>G96-Obligasi4[[#This Row],[Amortisasi  Diskon]]</f>
        <v>517990.27995922824</v>
      </c>
      <c r="H97" s="199">
        <f>H96+Obligasi4[[#This Row],[Amortisasi  Diskon]]</f>
        <v>9482009.7200407721</v>
      </c>
    </row>
    <row r="98" spans="2:8">
      <c r="B98" s="204">
        <v>12</v>
      </c>
      <c r="C98" s="194">
        <v>46388</v>
      </c>
      <c r="D98" s="195">
        <f t="shared" si="9"/>
        <v>125000</v>
      </c>
      <c r="E98" s="70">
        <f t="shared" si="10"/>
        <v>142230.14580061159</v>
      </c>
      <c r="F98" s="70">
        <f>Obligasi4[[#This Row],[Pendapatan Bunga]]-Obligasi4[[#This Row],[Bunga Diterima]]</f>
        <v>17230.145800611586</v>
      </c>
      <c r="G98" s="70">
        <f>G97-Obligasi4[[#This Row],[Amortisasi  Diskon]]</f>
        <v>500760.13415861665</v>
      </c>
      <c r="H98" s="199">
        <f>H97+Obligasi4[[#This Row],[Amortisasi  Diskon]]</f>
        <v>9499239.8658413831</v>
      </c>
    </row>
    <row r="99" spans="2:8">
      <c r="B99" s="204">
        <v>13</v>
      </c>
      <c r="C99" s="194">
        <v>46419</v>
      </c>
      <c r="D99" s="195">
        <f t="shared" si="9"/>
        <v>125000</v>
      </c>
      <c r="E99" s="70">
        <f t="shared" si="10"/>
        <v>142488.59798762074</v>
      </c>
      <c r="F99" s="70">
        <f>Obligasi4[[#This Row],[Pendapatan Bunga]]-Obligasi4[[#This Row],[Bunga Diterima]]</f>
        <v>17488.597987620742</v>
      </c>
      <c r="G99" s="70">
        <f>G98-Obligasi4[[#This Row],[Amortisasi  Diskon]]</f>
        <v>483271.53617099591</v>
      </c>
      <c r="H99" s="199">
        <f>H98+Obligasi4[[#This Row],[Amortisasi  Diskon]]</f>
        <v>9516728.4638290033</v>
      </c>
    </row>
    <row r="100" spans="2:8">
      <c r="B100" s="204">
        <v>14</v>
      </c>
      <c r="C100" s="194">
        <v>46447</v>
      </c>
      <c r="D100" s="195">
        <f t="shared" si="9"/>
        <v>125000</v>
      </c>
      <c r="E100" s="70">
        <f t="shared" si="10"/>
        <v>142750.92695743503</v>
      </c>
      <c r="F100" s="70">
        <f>Obligasi4[[#This Row],[Pendapatan Bunga]]-Obligasi4[[#This Row],[Bunga Diterima]]</f>
        <v>17750.926957435033</v>
      </c>
      <c r="G100" s="70">
        <f>G99-Obligasi4[[#This Row],[Amortisasi  Diskon]]</f>
        <v>465520.60921356088</v>
      </c>
      <c r="H100" s="199">
        <f>H99+Obligasi4[[#This Row],[Amortisasi  Diskon]]</f>
        <v>9534479.3907864392</v>
      </c>
    </row>
    <row r="101" spans="2:8">
      <c r="B101" s="204">
        <v>15</v>
      </c>
      <c r="C101" s="194">
        <v>46478</v>
      </c>
      <c r="D101" s="195">
        <f t="shared" si="9"/>
        <v>125000</v>
      </c>
      <c r="E101" s="70">
        <f t="shared" si="10"/>
        <v>143017.19086179658</v>
      </c>
      <c r="F101" s="70">
        <f>Obligasi4[[#This Row],[Pendapatan Bunga]]-Obligasi4[[#This Row],[Bunga Diterima]]</f>
        <v>18017.190861796582</v>
      </c>
      <c r="G101" s="70">
        <f>G100-Obligasi4[[#This Row],[Amortisasi  Diskon]]</f>
        <v>447503.41835176433</v>
      </c>
      <c r="H101" s="199">
        <f>H100+Obligasi4[[#This Row],[Amortisasi  Diskon]]</f>
        <v>9552496.5816482361</v>
      </c>
    </row>
    <row r="102" spans="2:8">
      <c r="B102" s="204">
        <v>16</v>
      </c>
      <c r="C102" s="194">
        <v>46508</v>
      </c>
      <c r="D102" s="195">
        <f t="shared" si="9"/>
        <v>125000</v>
      </c>
      <c r="E102" s="70">
        <f t="shared" si="10"/>
        <v>143287.44872472354</v>
      </c>
      <c r="F102" s="70">
        <f>Obligasi4[[#This Row],[Pendapatan Bunga]]-Obligasi4[[#This Row],[Bunga Diterima]]</f>
        <v>18287.448724723537</v>
      </c>
      <c r="G102" s="70">
        <f>G101-Obligasi4[[#This Row],[Amortisasi  Diskon]]</f>
        <v>429215.96962704079</v>
      </c>
      <c r="H102" s="199">
        <f>H101+Obligasi4[[#This Row],[Amortisasi  Diskon]]</f>
        <v>9570784.0303729605</v>
      </c>
    </row>
    <row r="103" spans="2:8">
      <c r="B103" s="204">
        <v>17</v>
      </c>
      <c r="C103" s="194">
        <v>46539</v>
      </c>
      <c r="D103" s="195">
        <f t="shared" si="9"/>
        <v>125000</v>
      </c>
      <c r="E103" s="70">
        <f t="shared" si="10"/>
        <v>143561.7604555944</v>
      </c>
      <c r="F103" s="70">
        <f>Obligasi4[[#This Row],[Pendapatan Bunga]]-Obligasi4[[#This Row],[Bunga Diterima]]</f>
        <v>18561.760455594398</v>
      </c>
      <c r="G103" s="70">
        <f>G102-Obligasi4[[#This Row],[Amortisasi  Diskon]]</f>
        <v>410654.20917144639</v>
      </c>
      <c r="H103" s="199">
        <f>H102+Obligasi4[[#This Row],[Amortisasi  Diskon]]</f>
        <v>9589345.7908285558</v>
      </c>
    </row>
    <row r="104" spans="2:8">
      <c r="B104" s="204">
        <v>18</v>
      </c>
      <c r="C104" s="194">
        <v>46569</v>
      </c>
      <c r="D104" s="195">
        <f t="shared" si="9"/>
        <v>125000</v>
      </c>
      <c r="E104" s="70">
        <f t="shared" si="10"/>
        <v>143840.18686242832</v>
      </c>
      <c r="F104" s="70">
        <f>Obligasi4[[#This Row],[Pendapatan Bunga]]-Obligasi4[[#This Row],[Bunga Diterima]]</f>
        <v>18840.186862428323</v>
      </c>
      <c r="G104" s="70">
        <f>G103-Obligasi4[[#This Row],[Amortisasi  Diskon]]</f>
        <v>391814.02230901807</v>
      </c>
      <c r="H104" s="199">
        <f>H103+Obligasi4[[#This Row],[Amortisasi  Diskon]]</f>
        <v>9608185.9776909836</v>
      </c>
    </row>
    <row r="105" spans="2:8">
      <c r="B105" s="204">
        <v>19</v>
      </c>
      <c r="C105" s="194">
        <v>46600</v>
      </c>
      <c r="D105" s="195">
        <f t="shared" si="9"/>
        <v>125000</v>
      </c>
      <c r="E105" s="70">
        <f t="shared" si="10"/>
        <v>144122.78966536475</v>
      </c>
      <c r="F105" s="70">
        <f>Obligasi4[[#This Row],[Pendapatan Bunga]]-Obligasi4[[#This Row],[Bunga Diterima]]</f>
        <v>19122.789665364748</v>
      </c>
      <c r="G105" s="70">
        <f>G104-Obligasi4[[#This Row],[Amortisasi  Diskon]]</f>
        <v>372691.23264365329</v>
      </c>
      <c r="H105" s="199">
        <f>H104+Obligasi4[[#This Row],[Amortisasi  Diskon]]</f>
        <v>9627308.7673563492</v>
      </c>
    </row>
    <row r="106" spans="2:8">
      <c r="B106" s="204">
        <v>20</v>
      </c>
      <c r="C106" s="194">
        <v>46631</v>
      </c>
      <c r="D106" s="195">
        <f t="shared" si="9"/>
        <v>125000</v>
      </c>
      <c r="E106" s="70">
        <f t="shared" si="10"/>
        <v>144409.63151034524</v>
      </c>
      <c r="F106" s="70">
        <f>Obligasi4[[#This Row],[Pendapatan Bunga]]-Obligasi4[[#This Row],[Bunga Diterima]]</f>
        <v>19409.631510345236</v>
      </c>
      <c r="G106" s="70">
        <f>G105-Obligasi4[[#This Row],[Amortisasi  Diskon]]</f>
        <v>353281.60113330802</v>
      </c>
      <c r="H106" s="199">
        <f>H105+Obligasi4[[#This Row],[Amortisasi  Diskon]]</f>
        <v>9646718.3988666944</v>
      </c>
    </row>
    <row r="107" spans="2:8">
      <c r="B107" s="204">
        <v>21</v>
      </c>
      <c r="C107" s="194">
        <v>46661</v>
      </c>
      <c r="D107" s="195">
        <f t="shared" si="9"/>
        <v>125000</v>
      </c>
      <c r="E107" s="70">
        <f t="shared" si="10"/>
        <v>144700.77598300041</v>
      </c>
      <c r="F107" s="70">
        <f>Obligasi4[[#This Row],[Pendapatan Bunga]]-Obligasi4[[#This Row],[Bunga Diterima]]</f>
        <v>19700.775983000407</v>
      </c>
      <c r="G107" s="70">
        <f>G106-Obligasi4[[#This Row],[Amortisasi  Diskon]]</f>
        <v>333580.82515030762</v>
      </c>
      <c r="H107" s="199">
        <f>H106+Obligasi4[[#This Row],[Amortisasi  Diskon]]</f>
        <v>9666419.1748496946</v>
      </c>
    </row>
    <row r="108" spans="2:8">
      <c r="B108" s="204">
        <v>22</v>
      </c>
      <c r="C108" s="194">
        <v>46692</v>
      </c>
      <c r="D108" s="195">
        <f t="shared" si="9"/>
        <v>125000</v>
      </c>
      <c r="E108" s="70">
        <f t="shared" si="10"/>
        <v>144996.28762274541</v>
      </c>
      <c r="F108" s="70">
        <f>Obligasi4[[#This Row],[Pendapatan Bunga]]-Obligasi4[[#This Row],[Bunga Diterima]]</f>
        <v>19996.287622745411</v>
      </c>
      <c r="G108" s="70">
        <f>G107-Obligasi4[[#This Row],[Amortisasi  Diskon]]</f>
        <v>313584.53752756224</v>
      </c>
      <c r="H108" s="199">
        <f>H107+Obligasi4[[#This Row],[Amortisasi  Diskon]]</f>
        <v>9686415.4624724407</v>
      </c>
    </row>
    <row r="109" spans="2:8">
      <c r="B109" s="204">
        <v>23</v>
      </c>
      <c r="C109" s="194">
        <v>46722</v>
      </c>
      <c r="D109" s="195">
        <f t="shared" si="9"/>
        <v>125000</v>
      </c>
      <c r="E109" s="70">
        <f t="shared" si="10"/>
        <v>145296.23193708662</v>
      </c>
      <c r="F109" s="70">
        <f>Obligasi4[[#This Row],[Pendapatan Bunga]]-Obligasi4[[#This Row],[Bunga Diterima]]</f>
        <v>20296.231937086617</v>
      </c>
      <c r="G109" s="70">
        <f>G108-Obligasi4[[#This Row],[Amortisasi  Diskon]]</f>
        <v>293288.30559047562</v>
      </c>
      <c r="H109" s="199">
        <f>H108+Obligasi4[[#This Row],[Amortisasi  Diskon]]</f>
        <v>9706711.6944095269</v>
      </c>
    </row>
    <row r="110" spans="2:8">
      <c r="B110" s="204">
        <v>24</v>
      </c>
      <c r="C110" s="194">
        <v>46753</v>
      </c>
      <c r="D110" s="195">
        <f t="shared" si="9"/>
        <v>125000</v>
      </c>
      <c r="E110" s="70">
        <f t="shared" si="10"/>
        <v>145600.67541614288</v>
      </c>
      <c r="F110" s="70">
        <f>Obligasi4[[#This Row],[Pendapatan Bunga]]-Obligasi4[[#This Row],[Bunga Diterima]]</f>
        <v>20600.675416142883</v>
      </c>
      <c r="G110" s="70">
        <f>G109-Obligasi4[[#This Row],[Amortisasi  Diskon]]</f>
        <v>272687.63017433276</v>
      </c>
      <c r="H110" s="199">
        <f>H109+Obligasi4[[#This Row],[Amortisasi  Diskon]]</f>
        <v>9727312.3698256705</v>
      </c>
    </row>
    <row r="111" spans="2:8">
      <c r="B111" s="204">
        <v>25</v>
      </c>
      <c r="C111" s="194">
        <v>46784</v>
      </c>
      <c r="D111" s="195">
        <f t="shared" si="9"/>
        <v>125000</v>
      </c>
      <c r="E111" s="70">
        <f t="shared" si="10"/>
        <v>145909.68554738504</v>
      </c>
      <c r="F111" s="70">
        <f>Obligasi4[[#This Row],[Pendapatan Bunga]]-Obligasi4[[#This Row],[Bunga Diterima]]</f>
        <v>20909.685547385045</v>
      </c>
      <c r="G111" s="70">
        <f>G110-Obligasi4[[#This Row],[Amortisasi  Diskon]]</f>
        <v>251777.94462694772</v>
      </c>
      <c r="H111" s="199">
        <f>H110+Obligasi4[[#This Row],[Amortisasi  Diskon]]</f>
        <v>9748222.0553730559</v>
      </c>
    </row>
    <row r="112" spans="2:8">
      <c r="B112" s="204">
        <v>26</v>
      </c>
      <c r="C112" s="194">
        <v>46813</v>
      </c>
      <c r="D112" s="195">
        <f t="shared" si="9"/>
        <v>125000</v>
      </c>
      <c r="E112" s="70">
        <f t="shared" si="10"/>
        <v>146223.33083059583</v>
      </c>
      <c r="F112" s="70">
        <f>Obligasi4[[#This Row],[Pendapatan Bunga]]-Obligasi4[[#This Row],[Bunga Diterima]]</f>
        <v>21223.330830595834</v>
      </c>
      <c r="G112" s="70">
        <f>G111-Obligasi4[[#This Row],[Amortisasi  Diskon]]</f>
        <v>230554.61379635188</v>
      </c>
      <c r="H112" s="199">
        <f>H111+Obligasi4[[#This Row],[Amortisasi  Diskon]]</f>
        <v>9769445.3862036522</v>
      </c>
    </row>
    <row r="113" spans="2:8">
      <c r="B113" s="204">
        <v>27</v>
      </c>
      <c r="C113" s="194">
        <v>46844</v>
      </c>
      <c r="D113" s="195">
        <f t="shared" si="9"/>
        <v>125000</v>
      </c>
      <c r="E113" s="70">
        <f t="shared" si="10"/>
        <v>146541.68079305478</v>
      </c>
      <c r="F113" s="70">
        <f>Obligasi4[[#This Row],[Pendapatan Bunga]]-Obligasi4[[#This Row],[Bunga Diterima]]</f>
        <v>21541.68079305478</v>
      </c>
      <c r="G113" s="70">
        <f>G112-Obligasi4[[#This Row],[Amortisasi  Diskon]]</f>
        <v>209012.9330032971</v>
      </c>
      <c r="H113" s="199">
        <f>H112+Obligasi4[[#This Row],[Amortisasi  Diskon]]</f>
        <v>9790987.0669967066</v>
      </c>
    </row>
    <row r="114" spans="2:8">
      <c r="B114" s="204">
        <v>28</v>
      </c>
      <c r="C114" s="194">
        <v>46874</v>
      </c>
      <c r="D114" s="195">
        <f t="shared" si="9"/>
        <v>125000</v>
      </c>
      <c r="E114" s="70">
        <f t="shared" si="10"/>
        <v>146864.8060049506</v>
      </c>
      <c r="F114" s="70">
        <f>Obligasi4[[#This Row],[Pendapatan Bunga]]-Obligasi4[[#This Row],[Bunga Diterima]]</f>
        <v>21864.806004950602</v>
      </c>
      <c r="G114" s="70">
        <f>G113-Obligasi4[[#This Row],[Amortisasi  Diskon]]</f>
        <v>187148.1269983465</v>
      </c>
      <c r="H114" s="199">
        <f>H113+Obligasi4[[#This Row],[Amortisasi  Diskon]]</f>
        <v>9812851.8730016574</v>
      </c>
    </row>
    <row r="115" spans="2:8">
      <c r="B115" s="204">
        <v>29</v>
      </c>
      <c r="C115" s="194">
        <v>46905</v>
      </c>
      <c r="D115" s="195">
        <f t="shared" si="9"/>
        <v>125000</v>
      </c>
      <c r="E115" s="70">
        <f t="shared" si="10"/>
        <v>147192.77809502484</v>
      </c>
      <c r="F115" s="70">
        <f>Obligasi4[[#This Row],[Pendapatan Bunga]]-Obligasi4[[#This Row],[Bunga Diterima]]</f>
        <v>22192.778095024842</v>
      </c>
      <c r="G115" s="70">
        <f>G114-Obligasi4[[#This Row],[Amortisasi  Diskon]]</f>
        <v>164955.34890332166</v>
      </c>
      <c r="H115" s="199">
        <f>H114+Obligasi4[[#This Row],[Amortisasi  Diskon]]</f>
        <v>9835044.651096683</v>
      </c>
    </row>
    <row r="116" spans="2:8">
      <c r="B116" s="204">
        <v>30</v>
      </c>
      <c r="C116" s="194">
        <v>46935</v>
      </c>
      <c r="D116" s="195">
        <f t="shared" si="9"/>
        <v>125000</v>
      </c>
      <c r="E116" s="70">
        <f t="shared" si="10"/>
        <v>147525.66976645024</v>
      </c>
      <c r="F116" s="70">
        <f>Obligasi4[[#This Row],[Pendapatan Bunga]]-Obligasi4[[#This Row],[Bunga Diterima]]</f>
        <v>22525.669766450243</v>
      </c>
      <c r="G116" s="70">
        <f>G115-Obligasi4[[#This Row],[Amortisasi  Diskon]]</f>
        <v>142429.67913687142</v>
      </c>
      <c r="H116" s="199">
        <f>H115+Obligasi4[[#This Row],[Amortisasi  Diskon]]</f>
        <v>9857570.3208631333</v>
      </c>
    </row>
    <row r="117" spans="2:8">
      <c r="B117" s="204">
        <v>31</v>
      </c>
      <c r="C117" s="194">
        <v>46966</v>
      </c>
      <c r="D117" s="195">
        <f t="shared" si="9"/>
        <v>125000</v>
      </c>
      <c r="E117" s="70">
        <f t="shared" si="10"/>
        <v>147863.554812947</v>
      </c>
      <c r="F117" s="70">
        <f>Obligasi4[[#This Row],[Pendapatan Bunga]]-Obligasi4[[#This Row],[Bunga Diterima]]</f>
        <v>22863.554812946997</v>
      </c>
      <c r="G117" s="70">
        <f>G116-Obligasi4[[#This Row],[Amortisasi  Diskon]]</f>
        <v>119566.12432392442</v>
      </c>
      <c r="H117" s="199">
        <f>H116+Obligasi4[[#This Row],[Amortisasi  Diskon]]</f>
        <v>9880433.8756760806</v>
      </c>
    </row>
    <row r="118" spans="2:8">
      <c r="B118" s="204">
        <v>32</v>
      </c>
      <c r="C118" s="194">
        <v>46997</v>
      </c>
      <c r="D118" s="195">
        <f t="shared" si="9"/>
        <v>125000</v>
      </c>
      <c r="E118" s="70">
        <f t="shared" si="10"/>
        <v>148206.50813514119</v>
      </c>
      <c r="F118" s="70">
        <f>Obligasi4[[#This Row],[Pendapatan Bunga]]-Obligasi4[[#This Row],[Bunga Diterima]]</f>
        <v>23206.508135141194</v>
      </c>
      <c r="G118" s="70">
        <f>G117-Obligasi4[[#This Row],[Amortisasi  Diskon]]</f>
        <v>96359.616188783228</v>
      </c>
      <c r="H118" s="199">
        <f>H117+Obligasi4[[#This Row],[Amortisasi  Diskon]]</f>
        <v>9903640.3838112224</v>
      </c>
    </row>
    <row r="119" spans="2:8">
      <c r="B119" s="204">
        <v>33</v>
      </c>
      <c r="C119" s="194">
        <v>47027</v>
      </c>
      <c r="D119" s="195">
        <f t="shared" si="9"/>
        <v>125000</v>
      </c>
      <c r="E119" s="70">
        <f t="shared" si="10"/>
        <v>148554.60575716832</v>
      </c>
      <c r="F119" s="70">
        <f>Obligasi4[[#This Row],[Pendapatan Bunga]]-Obligasi4[[#This Row],[Bunga Diterima]]</f>
        <v>23554.60575716832</v>
      </c>
      <c r="G119" s="70">
        <f>G118-Obligasi4[[#This Row],[Amortisasi  Diskon]]</f>
        <v>72805.010431614908</v>
      </c>
      <c r="H119" s="199">
        <f>H118+Obligasi4[[#This Row],[Amortisasi  Diskon]]</f>
        <v>9927194.98956839</v>
      </c>
    </row>
    <row r="120" spans="2:8">
      <c r="B120" s="204">
        <v>34</v>
      </c>
      <c r="C120" s="194">
        <v>47058</v>
      </c>
      <c r="D120" s="195">
        <f t="shared" si="9"/>
        <v>125000</v>
      </c>
      <c r="E120" s="70">
        <f t="shared" si="10"/>
        <v>148907.92484352583</v>
      </c>
      <c r="F120" s="70">
        <f>Obligasi4[[#This Row],[Pendapatan Bunga]]-Obligasi4[[#This Row],[Bunga Diterima]]</f>
        <v>23907.924843525834</v>
      </c>
      <c r="G120" s="70">
        <f>G119-Obligasi4[[#This Row],[Amortisasi  Diskon]]</f>
        <v>48897.085588089074</v>
      </c>
      <c r="H120" s="199">
        <f>H119+Obligasi4[[#This Row],[Amortisasi  Diskon]]</f>
        <v>9951102.9144119155</v>
      </c>
    </row>
    <row r="121" spans="2:8">
      <c r="B121" s="204">
        <v>35</v>
      </c>
      <c r="C121" s="194">
        <v>47088</v>
      </c>
      <c r="D121" s="195">
        <f t="shared" si="9"/>
        <v>125000</v>
      </c>
      <c r="E121" s="70">
        <f t="shared" si="10"/>
        <v>149266.54371617871</v>
      </c>
      <c r="F121" s="70">
        <f>Obligasi4[[#This Row],[Pendapatan Bunga]]-Obligasi4[[#This Row],[Bunga Diterima]]</f>
        <v>24266.543716178712</v>
      </c>
      <c r="G121" s="70">
        <f>G120-Obligasi4[[#This Row],[Amortisasi  Diskon]]</f>
        <v>24630.541871910362</v>
      </c>
      <c r="H121" s="199">
        <f>H120+Obligasi4[[#This Row],[Amortisasi  Diskon]]</f>
        <v>9975369.4581280947</v>
      </c>
    </row>
    <row r="122" spans="2:8">
      <c r="B122" s="205">
        <v>36</v>
      </c>
      <c r="C122" s="225">
        <v>47119</v>
      </c>
      <c r="D122" s="200">
        <f t="shared" si="9"/>
        <v>125000</v>
      </c>
      <c r="E122" s="201">
        <f t="shared" si="10"/>
        <v>149630.54187192142</v>
      </c>
      <c r="F122" s="201">
        <f>Obligasi4[[#This Row],[Pendapatan Bunga]]-Obligasi4[[#This Row],[Bunga Diterima]]</f>
        <v>24630.541871921421</v>
      </c>
      <c r="G122" s="201">
        <f>G121-Obligasi4[[#This Row],[Amortisasi  Diskon]]</f>
        <v>-1.1059455573558807E-8</v>
      </c>
      <c r="H122" s="202">
        <f>H121+Obligasi4[[#This Row],[Amortisasi  Diskon]]</f>
        <v>10000000.000000017</v>
      </c>
    </row>
  </sheetData>
  <pageMargins left="0.7" right="0.7" top="0.75" bottom="0.75" header="0.3" footer="0.3"/>
  <pageSetup paperSize="9" scale="51" orientation="portrait" r:id="rId1"/>
  <rowBreaks count="1" manualBreakCount="1">
    <brk id="72" max="16" man="1"/>
  </rowBreaks>
  <colBreaks count="1" manualBreakCount="1">
    <brk id="9" max="126" man="1"/>
  </colBreaks>
  <drawing r:id="rId2"/>
  <tableParts count="3">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E65B2-0AC8-4886-92F6-1A72364FFA5D}">
  <sheetPr codeName="Sheet6"/>
  <dimension ref="A3:AV199"/>
  <sheetViews>
    <sheetView showGridLines="0" showRowColHeaders="0" zoomScaleNormal="100" workbookViewId="0">
      <pane xSplit="1" ySplit="7" topLeftCell="B8" activePane="bottomRight" state="frozen"/>
      <selection pane="topRight" activeCell="B1" sqref="B1"/>
      <selection pane="bottomLeft" activeCell="A8" sqref="A8"/>
      <selection pane="bottomRight" activeCell="A10" sqref="A10"/>
    </sheetView>
  </sheetViews>
  <sheetFormatPr defaultRowHeight="15"/>
  <cols>
    <col min="1" max="1" width="0.140625" customWidth="1"/>
    <col min="2" max="2" width="14.85546875" customWidth="1"/>
    <col min="3" max="3" width="24.28515625" bestFit="1" customWidth="1"/>
    <col min="4" max="4" width="11.28515625" bestFit="1" customWidth="1"/>
    <col min="5" max="5" width="9.85546875" bestFit="1" customWidth="1"/>
    <col min="6" max="6" width="11.85546875" bestFit="1" customWidth="1"/>
    <col min="7" max="7" width="17" bestFit="1" customWidth="1"/>
    <col min="8" max="8" width="10.42578125" bestFit="1" customWidth="1"/>
    <col min="9" max="9" width="9" bestFit="1" customWidth="1"/>
    <col min="10" max="10" width="11.28515625" bestFit="1" customWidth="1"/>
    <col min="11" max="11" width="19.140625" bestFit="1" customWidth="1"/>
    <col min="12" max="12" width="19.140625" customWidth="1"/>
    <col min="13" max="13" width="0.28515625" customWidth="1"/>
    <col min="14" max="14" width="15.28515625" bestFit="1" customWidth="1"/>
    <col min="15" max="15" width="14.42578125" bestFit="1" customWidth="1"/>
    <col min="16" max="16" width="12" bestFit="1" customWidth="1"/>
    <col min="17" max="17" width="10.5703125" bestFit="1" customWidth="1"/>
    <col min="18" max="18" width="12.5703125" bestFit="1" customWidth="1"/>
    <col min="19" max="19" width="17.7109375" bestFit="1" customWidth="1"/>
    <col min="20" max="20" width="11.140625" bestFit="1" customWidth="1"/>
    <col min="21" max="21" width="9.7109375" bestFit="1" customWidth="1"/>
    <col min="22" max="22" width="12" bestFit="1" customWidth="1"/>
    <col min="23" max="23" width="19.140625" bestFit="1" customWidth="1"/>
    <col min="24" max="24" width="19.140625" customWidth="1"/>
    <col min="25" max="25" width="14.7109375" customWidth="1"/>
    <col min="26" max="26" width="9.42578125" customWidth="1"/>
    <col min="27" max="27" width="24" customWidth="1"/>
    <col min="28" max="28" width="12.140625" customWidth="1"/>
    <col min="29" max="29" width="17.140625" customWidth="1"/>
    <col min="30" max="31" width="9.85546875" bestFit="1" customWidth="1"/>
    <col min="32" max="33" width="17.7109375" customWidth="1"/>
    <col min="34" max="34" width="18.5703125" bestFit="1" customWidth="1"/>
    <col min="35" max="35" width="18.7109375" bestFit="1" customWidth="1"/>
    <col min="36" max="37" width="9.85546875" customWidth="1"/>
    <col min="38" max="39" width="10.5703125" bestFit="1" customWidth="1"/>
    <col min="40" max="42" width="9" bestFit="1" customWidth="1"/>
    <col min="43" max="43" width="10.5703125" bestFit="1" customWidth="1"/>
    <col min="44" max="44" width="9" bestFit="1" customWidth="1"/>
    <col min="45" max="45" width="12.140625" bestFit="1" customWidth="1"/>
    <col min="46" max="46" width="8" bestFit="1" customWidth="1"/>
    <col min="47" max="47" width="10.5703125" bestFit="1" customWidth="1"/>
  </cols>
  <sheetData>
    <row r="3" spans="1:48" ht="15.75" thickBot="1"/>
    <row r="4" spans="1:48" ht="15" customHeight="1" thickBot="1">
      <c r="V4" s="50">
        <v>2</v>
      </c>
    </row>
    <row r="5" spans="1:48" ht="15" customHeight="1">
      <c r="S5" s="1"/>
      <c r="U5" s="41">
        <v>2</v>
      </c>
      <c r="V5" t="s">
        <v>128</v>
      </c>
    </row>
    <row r="7" spans="1:48" s="67" customFormat="1" ht="24" customHeight="1">
      <c r="A7" s="127"/>
      <c r="B7" s="142" t="s">
        <v>375</v>
      </c>
      <c r="C7" s="142" t="s">
        <v>374</v>
      </c>
      <c r="D7" s="127" t="s">
        <v>71</v>
      </c>
      <c r="E7" s="127" t="s">
        <v>72</v>
      </c>
      <c r="F7" s="127" t="s">
        <v>73</v>
      </c>
      <c r="G7" s="127" t="s">
        <v>74</v>
      </c>
      <c r="H7" s="127" t="s">
        <v>75</v>
      </c>
      <c r="I7" s="127" t="s">
        <v>76</v>
      </c>
      <c r="J7" s="127" t="s">
        <v>77</v>
      </c>
      <c r="K7" s="142" t="s">
        <v>377</v>
      </c>
      <c r="L7" s="142" t="s">
        <v>282</v>
      </c>
      <c r="M7" s="143" t="s">
        <v>379</v>
      </c>
      <c r="N7" s="123" t="s">
        <v>388</v>
      </c>
      <c r="O7" s="123" t="s">
        <v>376</v>
      </c>
      <c r="P7" s="123" t="s">
        <v>380</v>
      </c>
      <c r="Q7" s="123" t="s">
        <v>381</v>
      </c>
      <c r="R7" s="123" t="s">
        <v>382</v>
      </c>
      <c r="S7" s="123" t="s">
        <v>383</v>
      </c>
      <c r="T7" s="123" t="s">
        <v>384</v>
      </c>
      <c r="U7" s="123" t="s">
        <v>385</v>
      </c>
      <c r="V7" s="123" t="s">
        <v>390</v>
      </c>
      <c r="W7" s="123" t="s">
        <v>386</v>
      </c>
      <c r="X7" s="123" t="s">
        <v>387</v>
      </c>
    </row>
    <row r="8" spans="1:48" ht="24" customHeight="1">
      <c r="A8" s="65">
        <v>45678</v>
      </c>
      <c r="B8" s="65" t="str">
        <f>TEXT(A8,"mmm"&amp;" "&amp;"yyyy")</f>
        <v>Jan 2025</v>
      </c>
      <c r="C8" t="str">
        <f>C173</f>
        <v>SYAFIQ</v>
      </c>
      <c r="D8" s="20">
        <v>100</v>
      </c>
      <c r="E8" s="20">
        <v>50</v>
      </c>
      <c r="F8" s="20">
        <v>80</v>
      </c>
      <c r="G8" s="20">
        <v>120</v>
      </c>
      <c r="H8" s="20">
        <v>30</v>
      </c>
      <c r="I8" s="20">
        <v>0</v>
      </c>
      <c r="J8" s="20">
        <v>20</v>
      </c>
      <c r="K8" s="20">
        <f>L8/SUM(D8:J8)</f>
        <v>3400</v>
      </c>
      <c r="L8" s="20">
        <f>SUMPRODUCT(PERSEDIAAN[[#This Row],[KATUN]:[SUTRA]],$D$173:$J$173)</f>
        <v>1360000</v>
      </c>
      <c r="M8" s="125">
        <v>45675</v>
      </c>
      <c r="N8" s="121" t="str">
        <f>IFERROR(IF(M8&lt;&gt;"",TEXT(M8,"mmm"&amp;" "&amp;"yyyy"),""),"")</f>
        <v>Jan 2025</v>
      </c>
      <c r="O8" s="121" t="s">
        <v>136</v>
      </c>
      <c r="P8">
        <v>100</v>
      </c>
      <c r="Q8">
        <v>40</v>
      </c>
      <c r="R8">
        <v>80</v>
      </c>
      <c r="S8">
        <v>120</v>
      </c>
      <c r="T8">
        <v>20</v>
      </c>
      <c r="V8">
        <v>20</v>
      </c>
      <c r="W8" s="20">
        <f t="shared" ref="W8:W56" si="0">_xlfn.XLOOKUP(N8,$B$8:$B$158,$K$8:$K$158)</f>
        <v>3400</v>
      </c>
      <c r="X8" s="20">
        <f>P8*W8+Q8*W8+R8*W8+S8*W8+T8*W8+U8*W8+V8*W8</f>
        <v>1292000</v>
      </c>
      <c r="Z8" s="4" t="s">
        <v>266</v>
      </c>
      <c r="AI8" s="145" t="s">
        <v>389</v>
      </c>
      <c r="AJ8" s="37"/>
      <c r="AK8" s="37"/>
      <c r="AL8" s="37"/>
      <c r="AM8" s="37"/>
      <c r="AN8" s="37"/>
      <c r="AO8" s="37"/>
      <c r="AP8" s="37"/>
      <c r="AQ8" s="37"/>
      <c r="AR8" s="37"/>
      <c r="AS8" s="37"/>
      <c r="AT8" s="37"/>
      <c r="AU8" s="37"/>
    </row>
    <row r="9" spans="1:48" ht="15.75" customHeight="1">
      <c r="A9" s="65">
        <v>45711</v>
      </c>
      <c r="B9" s="65" t="str">
        <f>TEXT(A9,"mmm"&amp;" "&amp;"yyyy")</f>
        <v>Feb 2025</v>
      </c>
      <c r="C9" t="str">
        <f>C164</f>
        <v>PT KAIN HATI (QOLBI)</v>
      </c>
      <c r="D9" s="20">
        <v>30</v>
      </c>
      <c r="E9" s="20">
        <v>10</v>
      </c>
      <c r="F9" s="20">
        <v>10</v>
      </c>
      <c r="G9" s="20">
        <v>30</v>
      </c>
      <c r="H9" s="20">
        <v>10</v>
      </c>
      <c r="I9" s="20">
        <v>25</v>
      </c>
      <c r="J9" s="20">
        <v>10</v>
      </c>
      <c r="K9" s="20" cm="1">
        <f t="array" ref="K9">SUM($L$9:$L$11/SUM($D$9:$J$11))</f>
        <v>4002.6548672566369</v>
      </c>
      <c r="L9" s="20">
        <f>SUMPRODUCT(PERSEDIAAN[[#This Row],[KATUN]:[SUTRA]],$D$164:$J$164)</f>
        <v>676500</v>
      </c>
      <c r="M9" s="125">
        <v>45706</v>
      </c>
      <c r="N9" s="121" t="str">
        <f t="shared" ref="N9:N72" si="1">IFERROR(IF(M9&lt;&gt;"",TEXT(M9,"mmm"&amp;" "&amp;"yyyy"),""),"")</f>
        <v>Feb 2025</v>
      </c>
      <c r="O9" s="121" t="s">
        <v>137</v>
      </c>
      <c r="P9">
        <v>40</v>
      </c>
      <c r="Q9">
        <v>20</v>
      </c>
      <c r="R9">
        <v>20</v>
      </c>
      <c r="S9">
        <v>40</v>
      </c>
      <c r="T9">
        <v>40</v>
      </c>
      <c r="U9">
        <v>50</v>
      </c>
      <c r="V9">
        <v>20</v>
      </c>
      <c r="W9" s="20">
        <f t="shared" si="0"/>
        <v>4002.6548672566369</v>
      </c>
      <c r="X9" s="20">
        <f>P9*W9+Q9*W9+R9*W9+S9*W9+T9*W9+U9*W9+V9*W9</f>
        <v>920610.61946902645</v>
      </c>
      <c r="Z9" t="s">
        <v>267</v>
      </c>
      <c r="AI9" s="67" t="s">
        <v>144</v>
      </c>
      <c r="AJ9" t="s">
        <v>71</v>
      </c>
      <c r="AK9" t="s">
        <v>72</v>
      </c>
      <c r="AL9" t="s">
        <v>73</v>
      </c>
      <c r="AM9" t="s">
        <v>74</v>
      </c>
      <c r="AN9" t="s">
        <v>75</v>
      </c>
      <c r="AO9" t="s">
        <v>76</v>
      </c>
      <c r="AP9" t="s">
        <v>77</v>
      </c>
      <c r="AQ9" t="s">
        <v>282</v>
      </c>
      <c r="AR9" t="s">
        <v>141</v>
      </c>
      <c r="AS9" t="s">
        <v>143</v>
      </c>
      <c r="AT9" t="s">
        <v>140</v>
      </c>
      <c r="AU9" t="s">
        <v>142</v>
      </c>
    </row>
    <row r="10" spans="1:48">
      <c r="A10" s="65">
        <v>45711</v>
      </c>
      <c r="B10" s="65" t="str">
        <f t="shared" ref="B10:B11" si="2">TEXT(A10,"mmm"&amp;" "&amp;"yyyy")</f>
        <v>Feb 2025</v>
      </c>
      <c r="C10" t="str">
        <f>C176</f>
        <v>AHSAN JAYA BERKARYA</v>
      </c>
      <c r="D10" s="20"/>
      <c r="E10" s="20">
        <v>20</v>
      </c>
      <c r="F10" s="20"/>
      <c r="G10" s="20">
        <v>10</v>
      </c>
      <c r="H10" s="20">
        <v>10</v>
      </c>
      <c r="I10" s="20">
        <v>30</v>
      </c>
      <c r="J10" s="20"/>
      <c r="K10" s="20" cm="1">
        <f t="array" ref="K10">SUM($L$9:$L$11/SUM($D$9:$J$11))</f>
        <v>4002.6548672566369</v>
      </c>
      <c r="L10" s="20">
        <f>SUMPRODUCT(PERSEDIAAN[[#This Row],[KATUN]:[SUTRA]],$D$176:$J$176)</f>
        <v>440000</v>
      </c>
      <c r="M10" s="125">
        <v>45706</v>
      </c>
      <c r="N10" s="121" t="str">
        <f t="shared" si="1"/>
        <v>Feb 2025</v>
      </c>
      <c r="O10" s="121" t="s">
        <v>145</v>
      </c>
      <c r="P10">
        <v>90</v>
      </c>
      <c r="Q10">
        <v>60</v>
      </c>
      <c r="R10">
        <v>60</v>
      </c>
      <c r="S10">
        <v>60</v>
      </c>
      <c r="T10">
        <v>20</v>
      </c>
      <c r="W10" s="20">
        <f t="shared" si="0"/>
        <v>4002.6548672566369</v>
      </c>
      <c r="X10" s="20">
        <f>P10*W10+Q10*W10+R10*W10+S10*W10+T10*W10+U10*W10+V10*W10</f>
        <v>1160769.9115044246</v>
      </c>
      <c r="Z10" t="s">
        <v>268</v>
      </c>
      <c r="AH10" s="48">
        <v>45675</v>
      </c>
      <c r="AI10" s="65" t="str">
        <f>"Jumlah Beli"&amp;" "&amp;O8</f>
        <v>Jumlah Beli Ghost A</v>
      </c>
      <c r="AJ10">
        <v>50</v>
      </c>
      <c r="AK10">
        <v>20</v>
      </c>
      <c r="AL10">
        <v>40</v>
      </c>
      <c r="AM10">
        <v>60</v>
      </c>
      <c r="AN10">
        <v>10</v>
      </c>
      <c r="AP10">
        <v>10</v>
      </c>
      <c r="AQ10">
        <f>SUM(AJ10:AP10)</f>
        <v>190</v>
      </c>
      <c r="AR10" s="66"/>
      <c r="AS10" s="66"/>
      <c r="AT10" s="66"/>
      <c r="AU10" s="66"/>
      <c r="AV10" s="66"/>
    </row>
    <row r="11" spans="1:48">
      <c r="A11" s="65">
        <v>45711</v>
      </c>
      <c r="B11" s="65" t="str">
        <f t="shared" si="2"/>
        <v>Feb 2025</v>
      </c>
      <c r="C11" t="str">
        <f>C174</f>
        <v>PD KAIN (ASWIN)</v>
      </c>
      <c r="D11" s="20">
        <v>80</v>
      </c>
      <c r="E11" s="20">
        <v>70</v>
      </c>
      <c r="G11" s="20">
        <v>120</v>
      </c>
      <c r="H11" s="20">
        <v>80</v>
      </c>
      <c r="I11" s="20"/>
      <c r="J11" s="20">
        <v>20</v>
      </c>
      <c r="K11" s="20" cm="1">
        <f t="array" ref="K11">SUM($L$9:$L$11/SUM($D$9:$J$11))</f>
        <v>4002.6548672566369</v>
      </c>
      <c r="L11" s="20">
        <f>SUMPRODUCT(PERSEDIAAN[[#This Row],[KATUN]:[SUTRA]],$D$174:$J$174)</f>
        <v>1145000</v>
      </c>
      <c r="M11" s="125">
        <v>45719</v>
      </c>
      <c r="N11" s="121" t="str">
        <f t="shared" si="1"/>
        <v>Mar 2025</v>
      </c>
      <c r="O11" s="121" t="s">
        <v>152</v>
      </c>
      <c r="P11">
        <v>200</v>
      </c>
      <c r="Q11">
        <v>100</v>
      </c>
      <c r="S11">
        <v>20</v>
      </c>
      <c r="T11">
        <v>20</v>
      </c>
      <c r="W11" s="20">
        <f t="shared" si="0"/>
        <v>3763.1578947368421</v>
      </c>
      <c r="X11" s="20">
        <f>P11*W11+Q11*W11+R11*W11+S11*W11+T11*W11+U11*W11+V11*W11</f>
        <v>1279473.6842105263</v>
      </c>
      <c r="Z11" s="73" t="s">
        <v>269</v>
      </c>
      <c r="AI11" s="1" t="s">
        <v>138</v>
      </c>
      <c r="AJ11" s="1" cm="1">
        <f t="array" ref="AJ11">IFERROR(_xlfn.IFS(AJ10&lt;=10,17000,AJ10&lt;=30,15000,AJ10&lt;=50,14000,AJ10&lt;=100,13750),"")</f>
        <v>14000</v>
      </c>
      <c r="AK11" s="1" cm="1">
        <f t="array" ref="AK11">IFERROR(_xlfn.IFS(AK10&lt;=10,18000,AK10&lt;=30,17500,AK10&lt;=50,17000,AK10&lt;=100,16750),"")</f>
        <v>17500</v>
      </c>
      <c r="AL11" s="1" cm="1">
        <f t="array" ref="AL11">IFERROR(_xlfn.IFS(AL10&lt;=10,19500,AL10&lt;=30,19200,AL10&lt;=50,19000,AL10&lt;=100,18500),"")</f>
        <v>19000</v>
      </c>
      <c r="AM11" s="1" cm="1">
        <f t="array" ref="AM11">IFERROR(_xlfn.IFS(AM10&lt;=10,21000,AM10&lt;=30,20700,AM10&lt;=50,19800,AM10&lt;=100,18800),"")</f>
        <v>18800</v>
      </c>
      <c r="AN11" s="1" cm="1">
        <f t="array" ref="AN11">IFERROR(_xlfn.IFS(AN10&lt;=10,25000,AN10&lt;=30,23000,AN10&lt;=50,21000,AN10&lt;=100,20000),"")</f>
        <v>25000</v>
      </c>
      <c r="AO11" s="1" cm="1">
        <f t="array" ref="AO11">IFERROR(_xlfn.IFS(AO10&lt;=10,17000,AO10&lt;=30,15000,AO10&lt;=50,14000,AO10&lt;=100,13750),"")</f>
        <v>17000</v>
      </c>
      <c r="AP11" s="1" cm="1">
        <f t="array" ref="AP11">IFERROR(_xlfn.IFS(AP10&lt;=10,21000,AP10&lt;=30,20700,AP10&lt;=50,19800,AP10&lt;=100,18800),"")</f>
        <v>21000</v>
      </c>
      <c r="AQ11" s="1">
        <f>AVERAGE(AJ11:AP11)</f>
        <v>18900</v>
      </c>
      <c r="AR11" s="66"/>
      <c r="AS11" s="66"/>
      <c r="AT11" s="66"/>
      <c r="AU11" s="66"/>
      <c r="AV11" s="66"/>
    </row>
    <row r="12" spans="1:48">
      <c r="A12" s="65">
        <v>45719</v>
      </c>
      <c r="B12" s="65" t="str">
        <f>TEXT(A12,"mmm"&amp;" "&amp;"yyyy")</f>
        <v>Mar 2025</v>
      </c>
      <c r="C12" t="str">
        <f>C176</f>
        <v>AHSAN JAYA BERKARYA</v>
      </c>
      <c r="D12" s="20">
        <v>10</v>
      </c>
      <c r="E12" s="20">
        <v>10</v>
      </c>
      <c r="F12" s="20"/>
      <c r="G12" s="20">
        <v>10</v>
      </c>
      <c r="H12" s="20">
        <v>10</v>
      </c>
      <c r="I12" s="20">
        <v>30</v>
      </c>
      <c r="J12" s="20"/>
      <c r="K12" s="20">
        <f>SUM($L$12:$L$15)/SUM($D$12:$J$15)</f>
        <v>3763.1578947368421</v>
      </c>
      <c r="L12" s="20">
        <f>SUMPRODUCT(PERSEDIAAN[[#This Row],[KATUN]:[SUTRA]],$D$176:$J$176)</f>
        <v>450000</v>
      </c>
      <c r="M12" s="125">
        <v>45719</v>
      </c>
      <c r="N12" s="121" t="str">
        <f t="shared" si="1"/>
        <v>Mar 2025</v>
      </c>
      <c r="O12" s="121" t="s">
        <v>153</v>
      </c>
      <c r="R12">
        <v>20</v>
      </c>
      <c r="S12">
        <v>60</v>
      </c>
      <c r="U12">
        <v>20</v>
      </c>
      <c r="V12">
        <v>20</v>
      </c>
      <c r="W12" s="20">
        <f t="shared" si="0"/>
        <v>3763.1578947368421</v>
      </c>
      <c r="X12" s="20">
        <f t="shared" ref="X12:X56" si="3">P12*W12+Q12*W12+R12*W12+S12*W12+T12*W12+U12*W12+V12*W12</f>
        <v>451578.94736842107</v>
      </c>
      <c r="Z12" s="73" t="s">
        <v>270</v>
      </c>
      <c r="AH12" s="31"/>
      <c r="AI12" t="s">
        <v>139</v>
      </c>
      <c r="AJ12" s="1">
        <f>IFERROR(AJ10*AJ11,"")</f>
        <v>700000</v>
      </c>
      <c r="AK12" s="1">
        <f t="shared" ref="AK12:AP12" si="4">IFERROR(AK10*AK11,"")</f>
        <v>350000</v>
      </c>
      <c r="AL12" s="1">
        <f t="shared" si="4"/>
        <v>760000</v>
      </c>
      <c r="AM12" s="1">
        <f t="shared" si="4"/>
        <v>1128000</v>
      </c>
      <c r="AN12" s="1">
        <f t="shared" si="4"/>
        <v>250000</v>
      </c>
      <c r="AO12" s="1">
        <f t="shared" si="4"/>
        <v>0</v>
      </c>
      <c r="AP12" s="1">
        <f t="shared" si="4"/>
        <v>210000</v>
      </c>
      <c r="AQ12" s="3">
        <f>SUM(Penjualan[[#This Row],[KATUN]:[SUTRA]])</f>
        <v>3398000</v>
      </c>
      <c r="AR12" s="66">
        <f>AQ12*11%</f>
        <v>373780</v>
      </c>
      <c r="AS12" s="66">
        <f>Penjualan[[#This Row],[JUMLAH]]+Penjualan[[#This Row],[Pajak 11%]]</f>
        <v>3771780</v>
      </c>
      <c r="AT12" s="66">
        <v>21780</v>
      </c>
      <c r="AU12" s="66">
        <f>Penjualan[[#This Row],[Jumlah + Tax]]-Penjualan[[#This Row],[Diskon]]</f>
        <v>3750000</v>
      </c>
      <c r="AV12" s="66"/>
    </row>
    <row r="13" spans="1:48">
      <c r="A13" s="65">
        <v>45719</v>
      </c>
      <c r="B13" s="65" t="str">
        <f t="shared" ref="B13:B49" si="5">TEXT(A13,"mmm"&amp;" "&amp;"yyyy")</f>
        <v>Mar 2025</v>
      </c>
      <c r="C13" t="str">
        <f>C168</f>
        <v>BY LAV (ANDILA)</v>
      </c>
      <c r="D13" s="20">
        <v>200</v>
      </c>
      <c r="E13" s="20"/>
      <c r="F13" s="20">
        <v>50</v>
      </c>
      <c r="G13" s="20">
        <v>100</v>
      </c>
      <c r="H13" s="20">
        <v>50</v>
      </c>
      <c r="I13" s="20">
        <v>100</v>
      </c>
      <c r="J13" s="20">
        <v>50</v>
      </c>
      <c r="K13" s="20">
        <f t="shared" ref="K13:K15" si="6">SUM($L$12:$L$15)/SUM($D$12:$J$15)</f>
        <v>3763.1578947368421</v>
      </c>
      <c r="L13" s="20">
        <f>SUMPRODUCT(PERSEDIAAN[[#This Row],[KATUN]:[SUTRA]],$D$168:$J$168)</f>
        <v>1800000</v>
      </c>
      <c r="M13" s="125">
        <v>45719</v>
      </c>
      <c r="N13" s="121" t="str">
        <f t="shared" si="1"/>
        <v>Mar 2025</v>
      </c>
      <c r="O13" s="121" t="s">
        <v>154</v>
      </c>
      <c r="P13">
        <v>20</v>
      </c>
      <c r="Q13">
        <v>20</v>
      </c>
      <c r="S13">
        <v>20</v>
      </c>
      <c r="T13">
        <v>10</v>
      </c>
      <c r="U13">
        <v>20</v>
      </c>
      <c r="W13" s="20">
        <f t="shared" si="0"/>
        <v>3763.1578947368421</v>
      </c>
      <c r="X13" s="20">
        <f t="shared" si="3"/>
        <v>338684.21052631579</v>
      </c>
      <c r="Z13" s="73"/>
      <c r="AH13" s="48">
        <v>45706</v>
      </c>
      <c r="AI13" s="65" t="str">
        <f>"Jumlah Beli"&amp;" "&amp;O9</f>
        <v>Jumlah Beli Ghost B</v>
      </c>
      <c r="AJ13">
        <v>20</v>
      </c>
      <c r="AK13">
        <v>10</v>
      </c>
      <c r="AL13">
        <v>10</v>
      </c>
      <c r="AM13">
        <v>20</v>
      </c>
      <c r="AN13">
        <v>20</v>
      </c>
      <c r="AO13">
        <v>30</v>
      </c>
      <c r="AP13">
        <v>10</v>
      </c>
      <c r="AQ13">
        <f>SUM(AJ13:AP13)</f>
        <v>120</v>
      </c>
      <c r="AR13" s="66"/>
      <c r="AS13" s="66"/>
      <c r="AT13" s="66"/>
      <c r="AU13" s="66"/>
      <c r="AV13" s="66"/>
    </row>
    <row r="14" spans="1:48" ht="21">
      <c r="A14" s="65">
        <v>45719</v>
      </c>
      <c r="B14" s="65" t="str">
        <f t="shared" si="5"/>
        <v>Mar 2025</v>
      </c>
      <c r="C14" t="str">
        <f>C171</f>
        <v>TRUE TRHEAD(SAMUEL)</v>
      </c>
      <c r="D14" s="20">
        <v>30</v>
      </c>
      <c r="E14" s="20">
        <v>10</v>
      </c>
      <c r="F14" s="20">
        <v>60</v>
      </c>
      <c r="G14" s="20">
        <v>50</v>
      </c>
      <c r="H14" s="20"/>
      <c r="I14" s="20">
        <v>20</v>
      </c>
      <c r="J14" s="20"/>
      <c r="K14" s="20">
        <f t="shared" si="6"/>
        <v>3763.1578947368421</v>
      </c>
      <c r="L14" s="20">
        <f>SUMPRODUCT(PERSEDIAAN[[#This Row],[KATUN]:[SUTRA]],$D$171:$J$171)</f>
        <v>740000</v>
      </c>
      <c r="M14" s="125">
        <v>45719</v>
      </c>
      <c r="N14" s="121" t="str">
        <f t="shared" si="1"/>
        <v>Mar 2025</v>
      </c>
      <c r="O14" s="121" t="s">
        <v>155</v>
      </c>
      <c r="P14">
        <v>20</v>
      </c>
      <c r="Q14" s="20">
        <v>10</v>
      </c>
      <c r="R14">
        <v>10</v>
      </c>
      <c r="S14">
        <v>20</v>
      </c>
      <c r="T14">
        <v>10</v>
      </c>
      <c r="W14" s="20">
        <f t="shared" si="0"/>
        <v>3763.1578947368421</v>
      </c>
      <c r="X14" s="20">
        <f t="shared" si="3"/>
        <v>263421.05263157893</v>
      </c>
      <c r="Z14" s="120" t="s">
        <v>371</v>
      </c>
      <c r="AA14" s="37"/>
      <c r="AB14" s="37"/>
      <c r="AC14" s="37"/>
      <c r="AD14" s="37"/>
      <c r="AE14" s="37"/>
      <c r="AF14" s="37"/>
      <c r="AG14" s="90"/>
      <c r="AI14" s="1" t="s">
        <v>138</v>
      </c>
      <c r="AJ14" s="1" cm="1">
        <f t="array" ref="AJ14">IFERROR(_xlfn.IFS(AJ13&lt;=10,17000,AJ13&lt;=30,15000,AJ13&lt;=50,14000,AJ13&lt;=100,13750),"")</f>
        <v>15000</v>
      </c>
      <c r="AK14" s="1" cm="1">
        <f t="array" ref="AK14">IFERROR(_xlfn.IFS(AK13&lt;=10,18000,AK13&lt;=30,17500,AK13&lt;=50,17000,AK13&lt;=100,16750),"")</f>
        <v>18000</v>
      </c>
      <c r="AL14" s="1" cm="1">
        <f t="array" ref="AL14">IFERROR(_xlfn.IFS(AL13&lt;=10,19500,AL13&lt;=30,19200,AL13&lt;=50,19000,AL13&lt;=100,18500),"")</f>
        <v>19500</v>
      </c>
      <c r="AM14" s="1" cm="1">
        <f t="array" ref="AM14">IFERROR(_xlfn.IFS(AM13&lt;=10,21000,AM13&lt;=30,20700,AM13&lt;=50,19800,AM13&lt;=100,18800),"")</f>
        <v>20700</v>
      </c>
      <c r="AN14" s="1" cm="1">
        <f t="array" ref="AN14">IFERROR(_xlfn.IFS(AN13&lt;=10,25000,AN13&lt;=30,23000,AN13&lt;=50,21000,AN13&lt;=100,20000),"")</f>
        <v>23000</v>
      </c>
      <c r="AO14" s="1" cm="1">
        <f t="array" ref="AO14">IFERROR(_xlfn.IFS(AO13&lt;=10,17000,AO13&lt;=30,15000,AO13&lt;=50,14000,AO13&lt;=100,13750),"")</f>
        <v>15000</v>
      </c>
      <c r="AP14" s="1" cm="1">
        <f t="array" ref="AP14">IFERROR(_xlfn.IFS(AP13&lt;=10,21000,AP13&lt;=30,20700,AP13&lt;=50,19800,AP13&lt;=100,18800),"")</f>
        <v>21000</v>
      </c>
      <c r="AQ14" s="1">
        <f>AVERAGE(AJ14:AP14)</f>
        <v>18885.714285714286</v>
      </c>
      <c r="AR14" s="66"/>
      <c r="AS14" s="66"/>
      <c r="AT14" s="66"/>
      <c r="AU14" s="66"/>
      <c r="AV14" s="66"/>
    </row>
    <row r="15" spans="1:48" ht="45">
      <c r="A15" s="65">
        <v>45719</v>
      </c>
      <c r="B15" s="65" t="str">
        <f t="shared" si="5"/>
        <v>Mar 2025</v>
      </c>
      <c r="C15" t="str">
        <f>C166</f>
        <v>TOKO FADH (HUSNA)</v>
      </c>
      <c r="D15" s="20">
        <v>50</v>
      </c>
      <c r="E15" s="20"/>
      <c r="F15" s="20">
        <v>50</v>
      </c>
      <c r="G15" s="20">
        <v>100</v>
      </c>
      <c r="H15" s="20">
        <v>50</v>
      </c>
      <c r="I15" s="20">
        <v>100</v>
      </c>
      <c r="J15" s="20"/>
      <c r="K15" s="20">
        <f t="shared" si="6"/>
        <v>3763.1578947368421</v>
      </c>
      <c r="L15" s="20">
        <f>SUMPRODUCT(PERSEDIAAN[[#This Row],[KATUN]:[SUTRA]],$D$166:$J$166)</f>
        <v>1300000</v>
      </c>
      <c r="M15" s="125">
        <v>45775</v>
      </c>
      <c r="N15" s="121" t="str">
        <f t="shared" si="1"/>
        <v>Apr 2025</v>
      </c>
      <c r="O15" s="121" t="s">
        <v>145</v>
      </c>
      <c r="R15">
        <v>50</v>
      </c>
      <c r="S15">
        <v>100</v>
      </c>
      <c r="U15">
        <v>10</v>
      </c>
      <c r="V15">
        <v>10</v>
      </c>
      <c r="W15" s="20">
        <f t="shared" si="0"/>
        <v>3000</v>
      </c>
      <c r="X15" s="20">
        <f t="shared" si="3"/>
        <v>510000</v>
      </c>
      <c r="Z15" s="90" t="s">
        <v>276</v>
      </c>
      <c r="AA15" s="90" t="s">
        <v>119</v>
      </c>
      <c r="AB15" s="90" t="s">
        <v>277</v>
      </c>
      <c r="AC15" s="90" t="s">
        <v>278</v>
      </c>
      <c r="AD15" s="90" t="s">
        <v>279</v>
      </c>
      <c r="AE15" s="277" t="s">
        <v>280</v>
      </c>
      <c r="AF15" s="90" t="s">
        <v>281</v>
      </c>
      <c r="AG15" s="94"/>
      <c r="AI15" t="s">
        <v>139</v>
      </c>
      <c r="AJ15" s="1">
        <f>IFERROR(AJ13*AJ14,"")</f>
        <v>300000</v>
      </c>
      <c r="AK15" s="1">
        <f t="shared" ref="AK15" si="7">IFERROR(AK13*AK14,"")</f>
        <v>180000</v>
      </c>
      <c r="AL15" s="1">
        <f t="shared" ref="AL15" si="8">IFERROR(AL13*AL14,"")</f>
        <v>195000</v>
      </c>
      <c r="AM15" s="1">
        <f t="shared" ref="AM15" si="9">IFERROR(AM13*AM14,"")</f>
        <v>414000</v>
      </c>
      <c r="AN15" s="1">
        <f t="shared" ref="AN15" si="10">IFERROR(AN13*AN14,"")</f>
        <v>460000</v>
      </c>
      <c r="AO15" s="1">
        <f t="shared" ref="AO15" si="11">IFERROR(AO13*AO14,"")</f>
        <v>450000</v>
      </c>
      <c r="AP15" s="1">
        <f t="shared" ref="AP15" si="12">IFERROR(AP13*AP14,"")</f>
        <v>210000</v>
      </c>
      <c r="AQ15" s="3">
        <f>SUM(Penjualan[[#This Row],[KATUN]:[SUTRA]])</f>
        <v>2209000</v>
      </c>
      <c r="AR15" s="66">
        <f>AQ15*11%</f>
        <v>242990</v>
      </c>
      <c r="AS15" s="66">
        <f>Penjualan[[#This Row],[JUMLAH]]+Penjualan[[#This Row],[Pajak 11%]]</f>
        <v>2451990</v>
      </c>
      <c r="AT15" s="66">
        <v>21990</v>
      </c>
      <c r="AU15" s="66">
        <f>Penjualan[[#This Row],[Jumlah + Tax]]-Penjualan[[#This Row],[Diskon]]</f>
        <v>2430000</v>
      </c>
      <c r="AV15" s="66"/>
    </row>
    <row r="16" spans="1:48" ht="30">
      <c r="A16" s="65">
        <v>45765</v>
      </c>
      <c r="B16" s="65" t="str">
        <f t="shared" si="5"/>
        <v>Apr 2025</v>
      </c>
      <c r="C16" s="128" t="str">
        <f>C168</f>
        <v>BY LAV (ANDILA)</v>
      </c>
      <c r="D16" s="20">
        <v>100</v>
      </c>
      <c r="E16" s="20"/>
      <c r="F16" s="20"/>
      <c r="G16" s="20">
        <v>100</v>
      </c>
      <c r="H16" s="20"/>
      <c r="I16" s="20">
        <v>100</v>
      </c>
      <c r="J16" s="20"/>
      <c r="K16" s="20">
        <f>SUM($L$16:$L$17)/SUM($D$16:$J$17)</f>
        <v>3000</v>
      </c>
      <c r="L16" s="20">
        <f>SUMPRODUCT(PERSEDIAAN[[#This Row],[KATUN]:[SUTRA]],$D$168:$J$168)</f>
        <v>750000</v>
      </c>
      <c r="M16" s="125">
        <v>45775</v>
      </c>
      <c r="N16" s="121" t="str">
        <f t="shared" si="1"/>
        <v>Apr 2025</v>
      </c>
      <c r="O16" s="121" t="s">
        <v>137</v>
      </c>
      <c r="S16">
        <v>10</v>
      </c>
      <c r="T16">
        <v>10</v>
      </c>
      <c r="U16">
        <v>10</v>
      </c>
      <c r="W16" s="20">
        <f t="shared" si="0"/>
        <v>3000</v>
      </c>
      <c r="X16" s="20">
        <f t="shared" si="3"/>
        <v>90000</v>
      </c>
      <c r="Z16" s="95" t="s">
        <v>112</v>
      </c>
      <c r="AA16" s="96">
        <v>28</v>
      </c>
      <c r="AB16" s="98">
        <f t="shared" ref="AB16:AB22" si="13">(3815+1000)*(1+10%)</f>
        <v>5296.5</v>
      </c>
      <c r="AC16" s="97">
        <v>13750</v>
      </c>
      <c r="AD16" s="97">
        <v>3000</v>
      </c>
      <c r="AE16" s="292">
        <f>LCNRV[[#This Row],[Harga Jual]]-LCNRV[[#This Row],[Biaya Penjualan]]</f>
        <v>10750</v>
      </c>
      <c r="AF16" s="98">
        <f>IFERROR(IF(LCNRV[[#This Row],[Harga Perolehan (Cost)]]&lt;LCNRV[[#This Row],[NRV]],LCNRV[[#This Row],[Harga Perolehan (Cost)]],LCNRV[[#This Row],[NRV]]),"")</f>
        <v>5296.5</v>
      </c>
      <c r="AG16" s="94"/>
      <c r="AH16" s="31"/>
      <c r="AI16" s="65" t="str">
        <f>"Jumlah Beli"&amp;" "&amp;O10</f>
        <v>Jumlah Beli Ghost C</v>
      </c>
      <c r="AJ16">
        <v>45</v>
      </c>
      <c r="AK16" t="s">
        <v>244</v>
      </c>
      <c r="AL16">
        <v>30</v>
      </c>
      <c r="AM16">
        <v>30</v>
      </c>
      <c r="AN16">
        <v>10</v>
      </c>
      <c r="AQ16">
        <f>SUM(AJ16:AP16)</f>
        <v>115</v>
      </c>
      <c r="AR16" s="66"/>
      <c r="AS16" s="66"/>
      <c r="AT16" s="66"/>
      <c r="AU16" s="66"/>
    </row>
    <row r="17" spans="1:47" ht="30">
      <c r="A17" s="65">
        <v>45765</v>
      </c>
      <c r="B17" s="65" t="str">
        <f t="shared" si="5"/>
        <v>Apr 2025</v>
      </c>
      <c r="C17" s="128" t="str">
        <f>C171</f>
        <v>TRUE TRHEAD(SAMUEL)</v>
      </c>
      <c r="D17" s="20"/>
      <c r="E17" s="20"/>
      <c r="F17" s="20">
        <v>50</v>
      </c>
      <c r="G17" s="20">
        <v>100</v>
      </c>
      <c r="H17" s="20"/>
      <c r="I17" s="20">
        <v>10</v>
      </c>
      <c r="J17" s="20">
        <v>10</v>
      </c>
      <c r="K17" s="20">
        <f>SUM($L$16:$L$17)/SUM($D$16:$J$17)</f>
        <v>3000</v>
      </c>
      <c r="L17" s="20">
        <f>SUMPRODUCT(PERSEDIAAN[[#This Row],[KATUN]:[SUTRA]],$D$171:$J$171)</f>
        <v>660000</v>
      </c>
      <c r="M17" s="125">
        <v>45805</v>
      </c>
      <c r="N17" s="121" t="str">
        <f t="shared" si="1"/>
        <v>May 2025</v>
      </c>
      <c r="O17" s="121" t="s">
        <v>137</v>
      </c>
      <c r="P17">
        <v>100</v>
      </c>
      <c r="R17">
        <v>140</v>
      </c>
      <c r="S17">
        <v>100</v>
      </c>
      <c r="U17">
        <v>100</v>
      </c>
      <c r="W17" s="20">
        <f t="shared" si="0"/>
        <v>3444.4444444444443</v>
      </c>
      <c r="X17" s="20">
        <f t="shared" si="3"/>
        <v>1515555.5555555555</v>
      </c>
      <c r="Z17" s="95" t="s">
        <v>113</v>
      </c>
      <c r="AA17" s="96">
        <v>36</v>
      </c>
      <c r="AB17" s="98">
        <f t="shared" si="13"/>
        <v>5296.5</v>
      </c>
      <c r="AC17" s="97">
        <v>16750</v>
      </c>
      <c r="AD17" s="97">
        <v>3000</v>
      </c>
      <c r="AE17" s="292">
        <f>LCNRV[[#This Row],[Harga Jual]]-LCNRV[[#This Row],[Biaya Penjualan]]</f>
        <v>13750</v>
      </c>
      <c r="AF17" s="98">
        <f>IFERROR(IF(LCNRV[[#This Row],[Harga Perolehan (Cost)]]&lt;LCNRV[[#This Row],[NRV]],LCNRV[[#This Row],[Harga Perolehan (Cost)]],LCNRV[[#This Row],[NRV]]),"")</f>
        <v>5296.5</v>
      </c>
      <c r="AG17" s="94"/>
      <c r="AI17" s="1" t="s">
        <v>138</v>
      </c>
      <c r="AJ17" s="1" cm="1">
        <f t="array" ref="AJ17">IFERROR(_xlfn.IFS(AJ16&lt;=10,17000,AJ16&lt;=30,15000,AJ16&lt;=50,14000,AJ16&lt;=100,13750),"")</f>
        <v>14000</v>
      </c>
      <c r="AK17" s="1" t="str" cm="1">
        <f t="array" ref="AK17">IFERROR(_xlfn.IFS(AK16&lt;=10,18000,AK16&lt;=30,17500,AK16&lt;=50,17000,AK16&lt;=100,16750),"")</f>
        <v/>
      </c>
      <c r="AL17" s="1" cm="1">
        <f t="array" ref="AL17">IFERROR(_xlfn.IFS(AL16&lt;=10,19500,AL16&lt;=30,19200,AL16&lt;=50,19000,AL16&lt;=100,18500),"")</f>
        <v>19200</v>
      </c>
      <c r="AM17" s="1" cm="1">
        <f t="array" ref="AM17">IFERROR(_xlfn.IFS(AM16&lt;=10,21000,AM16&lt;=30,20700,AM16&lt;=50,19800,AM16&lt;=100,18800),"")</f>
        <v>20700</v>
      </c>
      <c r="AN17" s="1" cm="1">
        <f t="array" ref="AN17">IFERROR(_xlfn.IFS(AN16&lt;=10,25000,AN16&lt;=30,23000,AN16&lt;=50,21000,AN16&lt;=100,20000),"")</f>
        <v>25000</v>
      </c>
      <c r="AO17" s="1" cm="1">
        <f t="array" ref="AO17">IFERROR(_xlfn.IFS(AO16&lt;=10,17000,AO16&lt;=30,15000,AO16&lt;=50,14000,AO16&lt;=100,13750),"")</f>
        <v>17000</v>
      </c>
      <c r="AP17" s="1" cm="1">
        <f t="array" ref="AP17">IFERROR(_xlfn.IFS(AP16&lt;=10,21000,AP16&lt;=30,20700,AP16&lt;=50,19800,AP16&lt;=100,18800),"")</f>
        <v>21000</v>
      </c>
      <c r="AQ17" s="1">
        <f>AVERAGE(AJ17:AP17)</f>
        <v>19483.333333333332</v>
      </c>
      <c r="AR17" s="66"/>
      <c r="AS17" s="66"/>
      <c r="AT17" s="66"/>
      <c r="AU17" s="66"/>
    </row>
    <row r="18" spans="1:47" ht="30">
      <c r="A18" s="65">
        <v>45795</v>
      </c>
      <c r="B18" s="65" t="str">
        <f t="shared" si="5"/>
        <v>May 2025</v>
      </c>
      <c r="C18" s="128" t="str">
        <f>C164</f>
        <v>PT KAIN HATI (QOLBI)</v>
      </c>
      <c r="D18" s="20">
        <v>30</v>
      </c>
      <c r="E18" s="20"/>
      <c r="F18" s="20"/>
      <c r="G18" s="20"/>
      <c r="H18" s="20"/>
      <c r="I18" s="20">
        <v>30</v>
      </c>
      <c r="J18" s="20">
        <v>30</v>
      </c>
      <c r="K18" s="20">
        <f>SUM($L$18:$L$20)/SUM($D$18:$J$20)</f>
        <v>3444.4444444444443</v>
      </c>
      <c r="L18" s="20">
        <f>SUMPRODUCT(PERSEDIAAN[[#This Row],[KATUN]:[SUTRA]],$D$164:$J$164)</f>
        <v>510000</v>
      </c>
      <c r="M18" s="125">
        <v>45805</v>
      </c>
      <c r="N18" s="121" t="str">
        <f t="shared" si="1"/>
        <v>May 2025</v>
      </c>
      <c r="O18" s="121" t="s">
        <v>154</v>
      </c>
      <c r="R18">
        <v>100</v>
      </c>
      <c r="S18">
        <v>100</v>
      </c>
      <c r="U18">
        <v>100</v>
      </c>
      <c r="W18" s="20">
        <f t="shared" si="0"/>
        <v>3444.4444444444443</v>
      </c>
      <c r="X18" s="20">
        <f t="shared" si="3"/>
        <v>1033333.3333333333</v>
      </c>
      <c r="Z18" s="95" t="s">
        <v>114</v>
      </c>
      <c r="AA18" s="96">
        <v>19</v>
      </c>
      <c r="AB18" s="98">
        <f t="shared" si="13"/>
        <v>5296.5</v>
      </c>
      <c r="AC18" s="97">
        <v>18500</v>
      </c>
      <c r="AD18" s="97">
        <v>3000</v>
      </c>
      <c r="AE18" s="292">
        <f>LCNRV[[#This Row],[Harga Jual]]-LCNRV[[#This Row],[Biaya Penjualan]]</f>
        <v>15500</v>
      </c>
      <c r="AF18" s="98">
        <f>IFERROR(IF(LCNRV[[#This Row],[Harga Perolehan (Cost)]]&lt;LCNRV[[#This Row],[NRV]],LCNRV[[#This Row],[Harga Perolehan (Cost)]],LCNRV[[#This Row],[NRV]]),"")</f>
        <v>5296.5</v>
      </c>
      <c r="AI18" t="s">
        <v>139</v>
      </c>
      <c r="AJ18" s="1">
        <f>IFERROR(AJ16*AJ17,"")</f>
        <v>630000</v>
      </c>
      <c r="AK18" s="1" t="str">
        <f t="shared" ref="AK18" si="14">IFERROR(AK16*AK17,"")</f>
        <v/>
      </c>
      <c r="AL18" s="1">
        <f t="shared" ref="AL18" si="15">IFERROR(AL16*AL17,"")</f>
        <v>576000</v>
      </c>
      <c r="AM18" s="1">
        <f t="shared" ref="AM18" si="16">IFERROR(AM16*AM17,"")</f>
        <v>621000</v>
      </c>
      <c r="AN18" s="1">
        <f t="shared" ref="AN18" si="17">IFERROR(AN16*AN17,"")</f>
        <v>250000</v>
      </c>
      <c r="AO18" s="1">
        <f t="shared" ref="AO18" si="18">IFERROR(AO16*AO17,"")</f>
        <v>0</v>
      </c>
      <c r="AP18" s="1">
        <f t="shared" ref="AP18" si="19">IFERROR(AP16*AP17,"")</f>
        <v>0</v>
      </c>
      <c r="AQ18" s="3">
        <f>SUM(Penjualan[[#This Row],[KATUN]:[SUTRA]])</f>
        <v>2077000</v>
      </c>
      <c r="AR18" s="66">
        <f>AQ18*11%</f>
        <v>228470</v>
      </c>
      <c r="AS18" s="66">
        <f>Penjualan[[#This Row],[JUMLAH]]+Penjualan[[#This Row],[Pajak 11%]]</f>
        <v>2305470</v>
      </c>
      <c r="AT18" s="66">
        <v>25470</v>
      </c>
      <c r="AU18" s="66">
        <f>Penjualan[[#This Row],[Jumlah + Tax]]-Penjualan[[#This Row],[Diskon]]</f>
        <v>2280000</v>
      </c>
    </row>
    <row r="19" spans="1:47" ht="30">
      <c r="A19" s="65">
        <v>45795</v>
      </c>
      <c r="B19" s="65" t="str">
        <f t="shared" si="5"/>
        <v>May 2025</v>
      </c>
      <c r="C19" s="128" t="str">
        <f>C166</f>
        <v>TOKO FADH (HUSNA)</v>
      </c>
      <c r="D19" s="20"/>
      <c r="E19" s="20"/>
      <c r="F19" s="20"/>
      <c r="G19" s="20">
        <v>20</v>
      </c>
      <c r="H19" s="20">
        <v>20</v>
      </c>
      <c r="I19" s="20">
        <v>20</v>
      </c>
      <c r="J19" s="20"/>
      <c r="K19" s="20">
        <f t="shared" ref="K19:K20" si="20">SUM($L$18:$L$20)/SUM($D$18:$J$20)</f>
        <v>3444.4444444444443</v>
      </c>
      <c r="L19" s="20">
        <f>SUMPRODUCT(PERSEDIAAN[[#This Row],[KATUN]:[SUTRA]],$D$166:$J$166)</f>
        <v>240000</v>
      </c>
      <c r="M19" s="125">
        <v>45805</v>
      </c>
      <c r="N19" s="121" t="str">
        <f t="shared" si="1"/>
        <v>May 2025</v>
      </c>
      <c r="O19" s="121" t="s">
        <v>153</v>
      </c>
      <c r="P19">
        <v>30</v>
      </c>
      <c r="U19">
        <v>30</v>
      </c>
      <c r="V19">
        <v>30</v>
      </c>
      <c r="W19" s="20">
        <f t="shared" si="0"/>
        <v>3444.4444444444443</v>
      </c>
      <c r="X19" s="20">
        <f t="shared" si="3"/>
        <v>310000</v>
      </c>
      <c r="Z19" s="95" t="s">
        <v>115</v>
      </c>
      <c r="AA19" s="96">
        <v>190</v>
      </c>
      <c r="AB19" s="98">
        <f t="shared" si="13"/>
        <v>5296.5</v>
      </c>
      <c r="AC19" s="97">
        <v>18800</v>
      </c>
      <c r="AD19" s="97">
        <v>3000</v>
      </c>
      <c r="AE19" s="292">
        <f>LCNRV[[#This Row],[Harga Jual]]-LCNRV[[#This Row],[Biaya Penjualan]]</f>
        <v>15800</v>
      </c>
      <c r="AF19" s="98">
        <f>IFERROR(IF(LCNRV[[#This Row],[Harga Perolehan (Cost)]]&lt;LCNRV[[#This Row],[NRV]],LCNRV[[#This Row],[Harga Perolehan (Cost)]],LCNRV[[#This Row],[NRV]]),"")</f>
        <v>5296.5</v>
      </c>
      <c r="AH19" s="48">
        <v>45719</v>
      </c>
      <c r="AI19" s="65" t="str">
        <f>"Jumlah Beli"&amp;" "&amp;O11</f>
        <v>Jumlah Beli Ghost D</v>
      </c>
      <c r="AJ19">
        <v>100</v>
      </c>
      <c r="AK19">
        <v>50</v>
      </c>
      <c r="AM19">
        <v>10</v>
      </c>
      <c r="AN19">
        <v>10</v>
      </c>
      <c r="AQ19">
        <f>SUM(AJ19:AP19)</f>
        <v>170</v>
      </c>
      <c r="AR19" s="66"/>
      <c r="AS19" s="66"/>
      <c r="AT19" s="66"/>
      <c r="AU19" s="66"/>
    </row>
    <row r="20" spans="1:47" ht="30">
      <c r="A20" s="65">
        <v>45795</v>
      </c>
      <c r="B20" s="65" t="str">
        <f t="shared" si="5"/>
        <v>May 2025</v>
      </c>
      <c r="C20" s="128" t="str">
        <f>C173</f>
        <v>SYAFIQ</v>
      </c>
      <c r="D20" s="20"/>
      <c r="E20" s="20"/>
      <c r="F20" s="20">
        <v>100</v>
      </c>
      <c r="G20" s="20">
        <v>100</v>
      </c>
      <c r="H20" s="20"/>
      <c r="I20" s="20">
        <v>100</v>
      </c>
      <c r="K20" s="20">
        <f t="shared" si="20"/>
        <v>3444.4444444444443</v>
      </c>
      <c r="L20" s="20">
        <f>SUMPRODUCT(PERSEDIAAN[[#This Row],[KATUN]:[SUTRA]],$D$173:$J$173)</f>
        <v>800000</v>
      </c>
      <c r="M20" s="125">
        <v>45836</v>
      </c>
      <c r="N20" s="121" t="str">
        <f t="shared" si="1"/>
        <v>Jun 2025</v>
      </c>
      <c r="O20" s="121" t="s">
        <v>136</v>
      </c>
      <c r="P20">
        <v>20</v>
      </c>
      <c r="Q20">
        <v>20</v>
      </c>
      <c r="R20">
        <v>20</v>
      </c>
      <c r="S20">
        <v>20</v>
      </c>
      <c r="U20">
        <v>10</v>
      </c>
      <c r="W20" s="20">
        <f t="shared" si="0"/>
        <v>3777.7777777777778</v>
      </c>
      <c r="X20" s="20">
        <f t="shared" si="3"/>
        <v>340000</v>
      </c>
      <c r="Z20" s="95" t="s">
        <v>116</v>
      </c>
      <c r="AA20" s="96">
        <v>119</v>
      </c>
      <c r="AB20" s="98">
        <f t="shared" si="13"/>
        <v>5296.5</v>
      </c>
      <c r="AC20" s="97">
        <v>20000</v>
      </c>
      <c r="AD20" s="97">
        <v>3000</v>
      </c>
      <c r="AE20" s="292">
        <f>LCNRV[[#This Row],[Harga Jual]]-LCNRV[[#This Row],[Biaya Penjualan]]</f>
        <v>17000</v>
      </c>
      <c r="AF20" s="98">
        <f>IFERROR(IF(LCNRV[[#This Row],[Harga Perolehan (Cost)]]&lt;LCNRV[[#This Row],[NRV]],LCNRV[[#This Row],[Harga Perolehan (Cost)]],LCNRV[[#This Row],[NRV]]),"")</f>
        <v>5296.5</v>
      </c>
      <c r="AI20" s="1" t="s">
        <v>138</v>
      </c>
      <c r="AJ20" s="1" cm="1">
        <f t="array" ref="AJ20">IFERROR(_xlfn.IFS(AJ19&lt;=10,17000,AJ19&lt;=30,15000,AJ19&lt;=50,14000,AJ19&lt;=100,13750),"")</f>
        <v>13750</v>
      </c>
      <c r="AK20" s="1" cm="1">
        <f t="array" ref="AK20">IFERROR(_xlfn.IFS(AK19&lt;=10,18000,AK19&lt;=30,17500,AK19&lt;=50,17000,AK19&lt;=100,16750),"")</f>
        <v>17000</v>
      </c>
      <c r="AL20" s="1" cm="1">
        <f t="array" ref="AL20">IFERROR(_xlfn.IFS(AL19&lt;=10,19500,AL19&lt;=30,19200,AL19&lt;=50,19000,AL19&lt;=100,18500),"")</f>
        <v>19500</v>
      </c>
      <c r="AM20" s="1" cm="1">
        <f t="array" ref="AM20">IFERROR(_xlfn.IFS(AM19&lt;=10,21000,AM19&lt;=30,20700,AM19&lt;=50,19800,AM19&lt;=100,18800),"")</f>
        <v>21000</v>
      </c>
      <c r="AN20" s="1" cm="1">
        <f t="array" ref="AN20">IFERROR(_xlfn.IFS(AN19&lt;=10,25000,AN19&lt;=30,23000,AN19&lt;=50,21000,AN19&lt;=100,20000),"")</f>
        <v>25000</v>
      </c>
      <c r="AO20" s="1" cm="1">
        <f t="array" ref="AO20">IFERROR(_xlfn.IFS(AO19&lt;=10,17000,AO19&lt;=30,15000,AO19&lt;=50,14000,AO19&lt;=100,13750),"")</f>
        <v>17000</v>
      </c>
      <c r="AP20" s="1" cm="1">
        <f t="array" ref="AP20">IFERROR(_xlfn.IFS(AP19&lt;=10,21000,AP19&lt;=30,20700,AP19&lt;=50,19800,AP19&lt;=100,18800),"")</f>
        <v>21000</v>
      </c>
      <c r="AQ20" s="1">
        <f>AVERAGE(AJ20:AP20)</f>
        <v>19178.571428571428</v>
      </c>
      <c r="AR20" s="66"/>
      <c r="AS20" s="66"/>
      <c r="AT20" s="66"/>
      <c r="AU20" s="66"/>
    </row>
    <row r="21" spans="1:47" ht="30">
      <c r="A21" s="65">
        <v>45825</v>
      </c>
      <c r="B21" s="65" t="str">
        <f t="shared" si="5"/>
        <v>Jun 2025</v>
      </c>
      <c r="C21" s="129" t="str">
        <f>C164</f>
        <v>PT KAIN HATI (QOLBI)</v>
      </c>
      <c r="D21" s="20">
        <v>20</v>
      </c>
      <c r="E21" s="20">
        <v>10</v>
      </c>
      <c r="F21" s="20">
        <v>20</v>
      </c>
      <c r="G21" s="20">
        <v>20</v>
      </c>
      <c r="H21" s="20"/>
      <c r="I21" s="20">
        <v>10</v>
      </c>
      <c r="J21" s="20"/>
      <c r="K21" s="20">
        <f>SUM($L$21:$L$23)/SUM($D$21:$J$23)</f>
        <v>3777.7777777777778</v>
      </c>
      <c r="L21" s="20">
        <v>430000</v>
      </c>
      <c r="M21" s="125">
        <v>45836</v>
      </c>
      <c r="N21" s="121" t="str">
        <f t="shared" si="1"/>
        <v>Jun 2025</v>
      </c>
      <c r="O21" s="121" t="s">
        <v>152</v>
      </c>
      <c r="P21">
        <v>50</v>
      </c>
      <c r="Q21">
        <v>10</v>
      </c>
      <c r="R21">
        <v>24</v>
      </c>
      <c r="S21">
        <v>100</v>
      </c>
      <c r="T21">
        <v>24</v>
      </c>
      <c r="U21">
        <v>20</v>
      </c>
      <c r="V21">
        <v>20</v>
      </c>
      <c r="W21" s="20">
        <f t="shared" si="0"/>
        <v>3777.7777777777778</v>
      </c>
      <c r="X21" s="20">
        <f t="shared" si="3"/>
        <v>936888.88888888899</v>
      </c>
      <c r="Z21" s="95" t="s">
        <v>117</v>
      </c>
      <c r="AA21" s="96">
        <v>177</v>
      </c>
      <c r="AB21" s="98">
        <f t="shared" si="13"/>
        <v>5296.5</v>
      </c>
      <c r="AC21" s="97">
        <v>13750</v>
      </c>
      <c r="AD21" s="97">
        <v>3000</v>
      </c>
      <c r="AE21" s="292">
        <f>LCNRV[[#This Row],[Harga Jual]]-LCNRV[[#This Row],[Biaya Penjualan]]</f>
        <v>10750</v>
      </c>
      <c r="AF21" s="98">
        <f>IFERROR(IF(LCNRV[[#This Row],[Harga Perolehan (Cost)]]&lt;LCNRV[[#This Row],[NRV]],LCNRV[[#This Row],[Harga Perolehan (Cost)]],LCNRV[[#This Row],[NRV]]),"")</f>
        <v>5296.5</v>
      </c>
      <c r="AI21" t="s">
        <v>139</v>
      </c>
      <c r="AJ21" s="1">
        <f>IFERROR(AJ19*AJ20,"")</f>
        <v>1375000</v>
      </c>
      <c r="AK21" s="1">
        <f t="shared" ref="AK21" si="21">IFERROR(AK19*AK20,"")</f>
        <v>850000</v>
      </c>
      <c r="AL21" s="1">
        <f t="shared" ref="AL21" si="22">IFERROR(AL19*AL20,"")</f>
        <v>0</v>
      </c>
      <c r="AM21" s="1">
        <f t="shared" ref="AM21" si="23">IFERROR(AM19*AM20,"")</f>
        <v>210000</v>
      </c>
      <c r="AN21" s="1">
        <f t="shared" ref="AN21" si="24">IFERROR(AN19*AN20,"")</f>
        <v>250000</v>
      </c>
      <c r="AO21" s="1">
        <f t="shared" ref="AO21" si="25">IFERROR(AO19*AO20,"")</f>
        <v>0</v>
      </c>
      <c r="AP21" s="1">
        <f t="shared" ref="AP21" si="26">IFERROR(AP19*AP20,"")</f>
        <v>0</v>
      </c>
      <c r="AQ21" s="3">
        <f>SUM(Penjualan[[#This Row],[KATUN]:[SUTRA]])</f>
        <v>2685000</v>
      </c>
      <c r="AR21" s="66">
        <f>AQ21*11%</f>
        <v>295350</v>
      </c>
      <c r="AS21" s="66">
        <f>Penjualan[[#This Row],[JUMLAH]]+Penjualan[[#This Row],[Pajak 11%]]</f>
        <v>2980350</v>
      </c>
      <c r="AT21" s="66">
        <v>20350</v>
      </c>
      <c r="AU21" s="66">
        <f>Penjualan[[#This Row],[Jumlah + Tax]]-Penjualan[[#This Row],[Diskon]]</f>
        <v>2960000</v>
      </c>
    </row>
    <row r="22" spans="1:47" ht="30">
      <c r="A22" s="65">
        <v>45825</v>
      </c>
      <c r="B22" s="65" t="str">
        <f t="shared" si="5"/>
        <v>Jun 2025</v>
      </c>
      <c r="C22" s="129" t="str">
        <f>C168</f>
        <v>BY LAV (ANDILA)</v>
      </c>
      <c r="D22" s="20">
        <v>50</v>
      </c>
      <c r="E22" s="20">
        <v>10</v>
      </c>
      <c r="F22" s="20">
        <v>25</v>
      </c>
      <c r="G22" s="20">
        <v>100</v>
      </c>
      <c r="H22" s="20">
        <v>25</v>
      </c>
      <c r="I22" s="20">
        <v>20</v>
      </c>
      <c r="J22" s="20">
        <v>20</v>
      </c>
      <c r="K22" s="20">
        <f t="shared" ref="K22:K23" si="27">SUM($L$21:$L$23)/SUM($D$21:$J$23)</f>
        <v>3777.7777777777778</v>
      </c>
      <c r="L22" s="20">
        <f>SUMPRODUCT(PERSEDIAAN[[#This Row],[KATUN]:[SUTRA]],$D$168:$J$168)</f>
        <v>860000</v>
      </c>
      <c r="M22" s="125">
        <v>45836</v>
      </c>
      <c r="N22" s="121" t="str">
        <f t="shared" si="1"/>
        <v>Jun 2025</v>
      </c>
      <c r="O22" s="121" t="s">
        <v>145</v>
      </c>
      <c r="P22">
        <v>30</v>
      </c>
      <c r="Q22">
        <v>20</v>
      </c>
      <c r="R22">
        <v>20</v>
      </c>
      <c r="S22">
        <v>30</v>
      </c>
      <c r="T22">
        <v>20</v>
      </c>
      <c r="W22" s="20">
        <f t="shared" si="0"/>
        <v>3777.7777777777778</v>
      </c>
      <c r="X22" s="20">
        <f t="shared" si="3"/>
        <v>453333.33333333331</v>
      </c>
      <c r="Z22" s="95" t="s">
        <v>118</v>
      </c>
      <c r="AA22" s="96">
        <v>36</v>
      </c>
      <c r="AB22" s="98">
        <f t="shared" si="13"/>
        <v>5296.5</v>
      </c>
      <c r="AC22" s="97">
        <v>18800</v>
      </c>
      <c r="AD22" s="97">
        <v>3000</v>
      </c>
      <c r="AE22" s="292">
        <f>LCNRV[[#This Row],[Harga Jual]]-LCNRV[[#This Row],[Biaya Penjualan]]</f>
        <v>15800</v>
      </c>
      <c r="AF22" s="98">
        <f>IFERROR(IF(LCNRV[[#This Row],[Harga Perolehan (Cost)]]&lt;LCNRV[[#This Row],[NRV]],LCNRV[[#This Row],[Harga Perolehan (Cost)]],LCNRV[[#This Row],[NRV]]),"")</f>
        <v>5296.5</v>
      </c>
      <c r="AI22" s="65" t="str">
        <f>"Jumlah Beli"&amp;" "&amp;O12</f>
        <v>Jumlah Beli Ghost E</v>
      </c>
      <c r="AJ22" s="41"/>
      <c r="AK22" s="41"/>
      <c r="AL22">
        <v>10</v>
      </c>
      <c r="AM22">
        <v>30</v>
      </c>
      <c r="AN22">
        <v>0</v>
      </c>
      <c r="AO22">
        <v>10</v>
      </c>
      <c r="AP22">
        <v>10</v>
      </c>
      <c r="AQ22">
        <f>SUM(AJ22:AP22)</f>
        <v>60</v>
      </c>
      <c r="AR22" s="66"/>
      <c r="AS22" s="66"/>
      <c r="AT22" s="66"/>
      <c r="AU22" s="66"/>
    </row>
    <row r="23" spans="1:47">
      <c r="A23" s="65">
        <v>45825</v>
      </c>
      <c r="B23" s="65" t="str">
        <f t="shared" si="5"/>
        <v>Jun 2025</v>
      </c>
      <c r="C23" s="129" t="str">
        <f>C173</f>
        <v>SYAFIQ</v>
      </c>
      <c r="D23" s="20">
        <v>30</v>
      </c>
      <c r="E23" s="20">
        <v>20</v>
      </c>
      <c r="F23" s="20">
        <v>20</v>
      </c>
      <c r="G23" s="20">
        <v>30</v>
      </c>
      <c r="H23" s="20">
        <v>20</v>
      </c>
      <c r="I23" s="20"/>
      <c r="J23" s="20"/>
      <c r="K23" s="20">
        <f t="shared" si="27"/>
        <v>3777.7777777777778</v>
      </c>
      <c r="L23" s="20">
        <f>SUMPRODUCT(PERSEDIAAN[[#This Row],[KATUN]:[SUTRA]],$D$173:$J$173)</f>
        <v>410000</v>
      </c>
      <c r="M23" s="125">
        <v>46014</v>
      </c>
      <c r="N23" s="121" t="str">
        <f t="shared" si="1"/>
        <v>Dec 2025</v>
      </c>
      <c r="O23" s="121" t="s">
        <v>137</v>
      </c>
      <c r="P23">
        <v>30</v>
      </c>
      <c r="Q23">
        <v>30</v>
      </c>
      <c r="R23">
        <v>30</v>
      </c>
      <c r="S23">
        <v>30</v>
      </c>
      <c r="T23">
        <v>30</v>
      </c>
      <c r="U23">
        <v>30</v>
      </c>
      <c r="V23">
        <v>10</v>
      </c>
      <c r="W23" s="20">
        <f t="shared" si="0"/>
        <v>4552.3809523809523</v>
      </c>
      <c r="X23" s="20">
        <f t="shared" si="3"/>
        <v>864952.38095238106</v>
      </c>
      <c r="AI23" s="1" t="s">
        <v>138</v>
      </c>
      <c r="AJ23" s="1" cm="1">
        <f t="array" ref="AJ23">IFERROR(_xlfn.IFS(AJ22&lt;=10,17000,AJ22&lt;=30,15000,AJ22&lt;=50,14000,AJ22&lt;=100,13750),"")</f>
        <v>17000</v>
      </c>
      <c r="AK23" s="1" cm="1">
        <f t="array" ref="AK23">IFERROR(_xlfn.IFS(AK22&lt;=10,18000,AK22&lt;=30,17500,AK22&lt;=50,17000,AK22&lt;=100,16750),"")</f>
        <v>18000</v>
      </c>
      <c r="AL23" s="1" cm="1">
        <f t="array" ref="AL23">IFERROR(_xlfn.IFS(AL22&lt;=10,19500,AL22&lt;=30,19200,AL22&lt;=50,19000,AL22&lt;=100,18500),"")</f>
        <v>19500</v>
      </c>
      <c r="AM23" s="1" cm="1">
        <f t="array" ref="AM23">IFERROR(_xlfn.IFS(AM22&lt;=10,21000,AM22&lt;=30,20700,AM22&lt;=50,19800,AM22&lt;=100,18800),"")</f>
        <v>20700</v>
      </c>
      <c r="AN23" s="1" cm="1">
        <f t="array" ref="AN23">IFERROR(_xlfn.IFS(AN22&lt;=10,25000,AN22&lt;=30,23000,AN22&lt;=50,21000,AN22&lt;=100,20000),"")</f>
        <v>25000</v>
      </c>
      <c r="AO23" s="1" cm="1">
        <f t="array" ref="AO23">IFERROR(_xlfn.IFS(AO22&lt;=10,17000,AO22&lt;=30,15000,AO22&lt;=50,14000,AO22&lt;=100,13750),"")</f>
        <v>17000</v>
      </c>
      <c r="AP23" s="1" cm="1">
        <f t="array" ref="AP23">IFERROR(_xlfn.IFS(AP22&lt;=10,21000,AP22&lt;=30,20700,AP22&lt;=50,19800,AP22&lt;=100,18800),"")</f>
        <v>21000</v>
      </c>
      <c r="AQ23" s="1">
        <f>AVERAGE(AJ23:AP23)</f>
        <v>19742.857142857141</v>
      </c>
      <c r="AR23" s="66"/>
      <c r="AS23" s="66"/>
      <c r="AT23" s="66"/>
      <c r="AU23" s="66"/>
    </row>
    <row r="24" spans="1:47" ht="18">
      <c r="A24" s="65">
        <v>46004</v>
      </c>
      <c r="B24" s="65" t="str">
        <f t="shared" si="5"/>
        <v>Dec 2025</v>
      </c>
      <c r="C24" s="129" t="str">
        <f>C164</f>
        <v>PT KAIN HATI (QOLBI)</v>
      </c>
      <c r="D24" s="20">
        <v>30</v>
      </c>
      <c r="E24" s="20">
        <v>30</v>
      </c>
      <c r="F24" s="20">
        <v>30</v>
      </c>
      <c r="G24" s="20">
        <v>30</v>
      </c>
      <c r="H24" s="20">
        <v>30</v>
      </c>
      <c r="I24" s="20">
        <v>30</v>
      </c>
      <c r="J24" s="20">
        <v>10</v>
      </c>
      <c r="K24" s="20">
        <f t="shared" ref="K24:K27" si="28">SUM($L$24:$L$28)/SUM($D$24:$J$28)</f>
        <v>4552.3809523809523</v>
      </c>
      <c r="L24" s="20">
        <v>1090000</v>
      </c>
      <c r="M24" s="125">
        <v>46014</v>
      </c>
      <c r="N24" s="121" t="str">
        <f t="shared" si="1"/>
        <v>Dec 2025</v>
      </c>
      <c r="O24" s="121" t="s">
        <v>155</v>
      </c>
      <c r="Q24">
        <v>20</v>
      </c>
      <c r="S24">
        <v>20</v>
      </c>
      <c r="T24">
        <v>10</v>
      </c>
      <c r="V24">
        <v>10</v>
      </c>
      <c r="W24" s="20">
        <f t="shared" si="0"/>
        <v>4552.3809523809523</v>
      </c>
      <c r="X24" s="20">
        <f t="shared" si="3"/>
        <v>273142.85714285716</v>
      </c>
      <c r="Z24" s="72" t="s">
        <v>271</v>
      </c>
      <c r="AI24" t="s">
        <v>139</v>
      </c>
      <c r="AJ24" s="1">
        <f>IFERROR(AJ22*AJ23,"")</f>
        <v>0</v>
      </c>
      <c r="AK24" s="1">
        <f t="shared" ref="AK24" si="29">IFERROR(AK22*AK23,"")</f>
        <v>0</v>
      </c>
      <c r="AL24" s="1">
        <f t="shared" ref="AL24" si="30">IFERROR(AL22*AL23,"")</f>
        <v>195000</v>
      </c>
      <c r="AM24" s="1">
        <f t="shared" ref="AM24" si="31">IFERROR(AM22*AM23,"")</f>
        <v>621000</v>
      </c>
      <c r="AN24" s="1">
        <f t="shared" ref="AN24" si="32">IFERROR(AN22*AN23,"")</f>
        <v>0</v>
      </c>
      <c r="AO24" s="1">
        <f t="shared" ref="AO24" si="33">IFERROR(AO22*AO23,"")</f>
        <v>170000</v>
      </c>
      <c r="AP24" s="1">
        <f t="shared" ref="AP24" si="34">IFERROR(AP22*AP23,"")</f>
        <v>210000</v>
      </c>
      <c r="AQ24" s="3">
        <f>SUM(Penjualan[[#This Row],[KATUN]:[SUTRA]])</f>
        <v>1196000</v>
      </c>
      <c r="AR24" s="66">
        <f>AQ24*11%</f>
        <v>131560</v>
      </c>
      <c r="AS24" s="66">
        <f>Penjualan[[#This Row],[JUMLAH]]+Penjualan[[#This Row],[Pajak 11%]]</f>
        <v>1327560</v>
      </c>
      <c r="AT24" s="66">
        <v>27560</v>
      </c>
      <c r="AU24" s="66">
        <f>Penjualan[[#This Row],[Jumlah + Tax]]-Penjualan[[#This Row],[Diskon]]</f>
        <v>1300000</v>
      </c>
    </row>
    <row r="25" spans="1:47">
      <c r="A25" s="65">
        <v>46004</v>
      </c>
      <c r="B25" s="65" t="str">
        <f t="shared" si="5"/>
        <v>Dec 2025</v>
      </c>
      <c r="C25" s="129" t="str">
        <f>C168</f>
        <v>BY LAV (ANDILA)</v>
      </c>
      <c r="D25" s="20">
        <v>50</v>
      </c>
      <c r="E25" s="20">
        <v>50</v>
      </c>
      <c r="F25" s="20">
        <v>50</v>
      </c>
      <c r="G25" s="20">
        <v>50</v>
      </c>
      <c r="H25" s="20">
        <v>50</v>
      </c>
      <c r="I25" s="20">
        <v>50</v>
      </c>
      <c r="J25" s="20">
        <v>50</v>
      </c>
      <c r="K25" s="20">
        <f t="shared" si="28"/>
        <v>4552.3809523809523</v>
      </c>
      <c r="L25" s="20">
        <f>SUMPRODUCT(PERSEDIAAN[[#This Row],[KATUN]:[SUTRA]],$D$168:$J$168)</f>
        <v>1725000</v>
      </c>
      <c r="M25" s="125">
        <v>46014</v>
      </c>
      <c r="N25" s="121" t="str">
        <f t="shared" si="1"/>
        <v>Dec 2025</v>
      </c>
      <c r="O25" s="121" t="s">
        <v>136</v>
      </c>
      <c r="P25">
        <v>50</v>
      </c>
      <c r="S25">
        <v>50</v>
      </c>
      <c r="T25">
        <v>50</v>
      </c>
      <c r="U25">
        <v>50</v>
      </c>
      <c r="V25">
        <v>50</v>
      </c>
      <c r="W25" s="20">
        <f t="shared" si="0"/>
        <v>4552.3809523809523</v>
      </c>
      <c r="X25" s="20">
        <f t="shared" si="3"/>
        <v>1138095.2380952381</v>
      </c>
      <c r="Z25" s="86" t="s">
        <v>272</v>
      </c>
      <c r="AI25" s="65" t="str">
        <f>"Jumlah Beli"&amp;" "&amp;O13</f>
        <v>Jumlah Beli Ghost F</v>
      </c>
      <c r="AJ25" s="1">
        <v>10</v>
      </c>
      <c r="AK25" s="1">
        <v>10</v>
      </c>
      <c r="AL25" s="1">
        <v>0</v>
      </c>
      <c r="AM25" s="1">
        <v>10</v>
      </c>
      <c r="AN25" s="1">
        <v>5</v>
      </c>
      <c r="AO25" s="1">
        <v>10</v>
      </c>
      <c r="AP25" s="1">
        <v>0</v>
      </c>
      <c r="AQ25" s="1">
        <f>SUM(AJ25:AP25)</f>
        <v>45</v>
      </c>
      <c r="AR25" s="66"/>
      <c r="AS25" s="66"/>
      <c r="AT25" s="66"/>
      <c r="AU25" s="66"/>
    </row>
    <row r="26" spans="1:47">
      <c r="A26" s="65">
        <v>46004</v>
      </c>
      <c r="B26" s="65" t="str">
        <f t="shared" si="5"/>
        <v>Dec 2025</v>
      </c>
      <c r="C26" s="129" t="str">
        <f>C174</f>
        <v>PD KAIN (ASWIN)</v>
      </c>
      <c r="D26" s="20">
        <v>30</v>
      </c>
      <c r="E26" s="20">
        <v>30</v>
      </c>
      <c r="G26" s="20">
        <v>30</v>
      </c>
      <c r="H26" s="20">
        <v>30</v>
      </c>
      <c r="I26" s="20"/>
      <c r="J26" s="20">
        <v>30</v>
      </c>
      <c r="K26" s="20">
        <f t="shared" si="28"/>
        <v>4552.3809523809523</v>
      </c>
      <c r="L26" s="20">
        <f>SUMPRODUCT(PERSEDIAAN[[#This Row],[KATUN]:[SUTRA]],$D$174:$J$174)</f>
        <v>525000</v>
      </c>
      <c r="M26" s="125">
        <v>46014</v>
      </c>
      <c r="N26" s="121" t="str">
        <f t="shared" si="1"/>
        <v>Dec 2025</v>
      </c>
      <c r="O26" s="121" t="s">
        <v>154</v>
      </c>
      <c r="P26">
        <v>50</v>
      </c>
      <c r="S26">
        <v>50</v>
      </c>
      <c r="T26">
        <v>50</v>
      </c>
      <c r="U26">
        <v>50</v>
      </c>
      <c r="V26">
        <v>50</v>
      </c>
      <c r="W26" s="20">
        <f t="shared" si="0"/>
        <v>4552.3809523809523</v>
      </c>
      <c r="X26" s="20">
        <f t="shared" si="3"/>
        <v>1138095.2380952381</v>
      </c>
      <c r="Z26" s="86" t="s">
        <v>273</v>
      </c>
      <c r="AI26" s="1" t="s">
        <v>138</v>
      </c>
      <c r="AJ26" s="1" cm="1">
        <f t="array" ref="AJ26">IFERROR(_xlfn.IFS(AJ25&lt;=10,17000,AJ25&lt;=30,15000,AJ25&lt;=50,14000,AJ25&lt;=100,13750),"")</f>
        <v>17000</v>
      </c>
      <c r="AK26" s="1" cm="1">
        <f t="array" ref="AK26">IFERROR(_xlfn.IFS(AK25&lt;=10,18000,AK25&lt;=30,17500,AK25&lt;=50,17000,AK25&lt;=100,16750),"")</f>
        <v>18000</v>
      </c>
      <c r="AL26" s="1" cm="1">
        <f t="array" ref="AL26">IFERROR(_xlfn.IFS(AL25&lt;=10,19500,AL25&lt;=30,19200,AL25&lt;=50,19000,AL25&lt;=100,18500),"")</f>
        <v>19500</v>
      </c>
      <c r="AM26" s="1" cm="1">
        <f t="array" ref="AM26">IFERROR(_xlfn.IFS(AM25&lt;=10,21000,AM25&lt;=30,20700,AM25&lt;=50,19800,AM25&lt;=100,18800),"")</f>
        <v>21000</v>
      </c>
      <c r="AN26" s="1" cm="1">
        <f t="array" ref="AN26">IFERROR(_xlfn.IFS(AN25&lt;=10,25000,AN25&lt;=30,23000,AN25&lt;=50,21000,AN25&lt;=100,20000),"")</f>
        <v>25000</v>
      </c>
      <c r="AO26" s="1" cm="1">
        <f t="array" ref="AO26">IFERROR(_xlfn.IFS(AO25&lt;=10,17000,AO25&lt;=30,15000,AO25&lt;=50,14000,AO25&lt;=100,13750),"")</f>
        <v>17000</v>
      </c>
      <c r="AP26" s="1" cm="1">
        <f t="array" ref="AP26">IFERROR(_xlfn.IFS(AP25&lt;=10,21000,AP25&lt;=30,20700,AP25&lt;=50,19800,AP25&lt;=100,18800),"")</f>
        <v>21000</v>
      </c>
      <c r="AQ26" s="1">
        <f>AVERAGE(AJ26:AP26)</f>
        <v>19785.714285714286</v>
      </c>
      <c r="AR26" s="66"/>
      <c r="AS26" s="66"/>
      <c r="AT26" s="66"/>
      <c r="AU26" s="66"/>
    </row>
    <row r="27" spans="1:47">
      <c r="A27" s="65">
        <v>46004</v>
      </c>
      <c r="B27" s="65" t="str">
        <f t="shared" si="5"/>
        <v>Dec 2025</v>
      </c>
      <c r="C27" s="129" t="str">
        <f>C166</f>
        <v>TOKO FADH (HUSNA)</v>
      </c>
      <c r="D27" s="20"/>
      <c r="E27" s="20">
        <v>20</v>
      </c>
      <c r="F27" s="20"/>
      <c r="G27" s="20">
        <v>20</v>
      </c>
      <c r="H27" s="20">
        <v>10</v>
      </c>
      <c r="I27" s="20"/>
      <c r="J27" s="20">
        <v>10</v>
      </c>
      <c r="K27" s="20">
        <f t="shared" si="28"/>
        <v>4552.3809523809523</v>
      </c>
      <c r="L27" s="20">
        <f>SUMPRODUCT(PERSEDIAAN[[#This Row],[KATUN]:[SUTRA]],$D$166:$J$166)</f>
        <v>290000</v>
      </c>
      <c r="M27" s="125">
        <v>46014</v>
      </c>
      <c r="N27" s="121" t="str">
        <f t="shared" si="1"/>
        <v>Dec 2025</v>
      </c>
      <c r="O27" s="121" t="s">
        <v>152</v>
      </c>
      <c r="P27">
        <v>30</v>
      </c>
      <c r="S27">
        <v>30</v>
      </c>
      <c r="T27">
        <v>30</v>
      </c>
      <c r="U27">
        <v>30</v>
      </c>
      <c r="V27">
        <v>30</v>
      </c>
      <c r="W27" s="20">
        <f t="shared" si="0"/>
        <v>4552.3809523809523</v>
      </c>
      <c r="X27" s="20">
        <f t="shared" si="3"/>
        <v>682857.14285714296</v>
      </c>
      <c r="Z27" s="86" t="s">
        <v>274</v>
      </c>
      <c r="AI27" t="s">
        <v>139</v>
      </c>
      <c r="AJ27" s="1">
        <f>IFERROR(AJ25*AJ26,"")</f>
        <v>170000</v>
      </c>
      <c r="AK27" s="1">
        <f t="shared" ref="AK27" si="35">IFERROR(AK25*AK26,"")</f>
        <v>180000</v>
      </c>
      <c r="AL27" s="1">
        <f t="shared" ref="AL27" si="36">IFERROR(AL25*AL26,"")</f>
        <v>0</v>
      </c>
      <c r="AM27" s="1">
        <f t="shared" ref="AM27" si="37">IFERROR(AM25*AM26,"")</f>
        <v>210000</v>
      </c>
      <c r="AN27" s="1">
        <f t="shared" ref="AN27" si="38">IFERROR(AN25*AN26,"")</f>
        <v>125000</v>
      </c>
      <c r="AO27" s="1">
        <f t="shared" ref="AO27" si="39">IFERROR(AO25*AO26,"")</f>
        <v>170000</v>
      </c>
      <c r="AP27" s="1">
        <f t="shared" ref="AP27" si="40">IFERROR(AP25*AP26,"")</f>
        <v>0</v>
      </c>
      <c r="AQ27" s="3">
        <f>SUM(Penjualan[[#This Row],[KATUN]:[SUTRA]])</f>
        <v>855000</v>
      </c>
      <c r="AR27" s="66">
        <f>AQ27*11%</f>
        <v>94050</v>
      </c>
      <c r="AS27" s="66">
        <f>Penjualan[[#This Row],[JUMLAH]]+Penjualan[[#This Row],[Pajak 11%]]</f>
        <v>949050</v>
      </c>
      <c r="AT27" s="66">
        <v>19050</v>
      </c>
      <c r="AU27" s="66">
        <f>Penjualan[[#This Row],[Jumlah + Tax]]-Penjualan[[#This Row],[Diskon]]</f>
        <v>930000</v>
      </c>
    </row>
    <row r="28" spans="1:47">
      <c r="A28" s="65">
        <v>46004</v>
      </c>
      <c r="B28" s="65" t="str">
        <f t="shared" si="5"/>
        <v>Dec 2025</v>
      </c>
      <c r="C28" s="129" t="str">
        <f>C173</f>
        <v>SYAFIQ</v>
      </c>
      <c r="D28" s="20">
        <v>50</v>
      </c>
      <c r="E28" s="20">
        <v>50</v>
      </c>
      <c r="F28" s="20">
        <v>50</v>
      </c>
      <c r="G28" s="20">
        <v>50</v>
      </c>
      <c r="H28" s="20">
        <v>50</v>
      </c>
      <c r="I28" s="20"/>
      <c r="J28" s="20">
        <v>50</v>
      </c>
      <c r="K28" s="20">
        <f>SUM($L$24:$L$28)/SUM($D$24:$J$28)</f>
        <v>4552.3809523809523</v>
      </c>
      <c r="L28" s="20">
        <f>SUMPRODUCT(PERSEDIAAN[[#This Row],[KATUN]:[SUTRA]],$D$173:$J$173)</f>
        <v>1150000</v>
      </c>
      <c r="M28" s="125">
        <v>46022</v>
      </c>
      <c r="N28" s="121" t="str">
        <f t="shared" si="1"/>
        <v>Dec 2025</v>
      </c>
      <c r="O28" s="121" t="s">
        <v>145</v>
      </c>
      <c r="P28" s="20">
        <v>2</v>
      </c>
      <c r="Q28" s="20">
        <v>4</v>
      </c>
      <c r="R28" s="20">
        <v>2</v>
      </c>
      <c r="S28" s="20">
        <v>20</v>
      </c>
      <c r="T28" s="20">
        <v>12</v>
      </c>
      <c r="U28" s="20">
        <v>18</v>
      </c>
      <c r="V28" s="20">
        <v>4</v>
      </c>
      <c r="W28" s="20">
        <f t="shared" si="0"/>
        <v>4552.3809523809523</v>
      </c>
      <c r="X28" s="20">
        <f t="shared" si="3"/>
        <v>282247.61904761905</v>
      </c>
      <c r="Z28" s="86" t="s">
        <v>275</v>
      </c>
      <c r="AI28" s="65" t="str">
        <f>"Jumlah Beli"&amp;" "&amp;O14</f>
        <v>Jumlah Beli Ghost G</v>
      </c>
      <c r="AJ28">
        <v>10</v>
      </c>
      <c r="AK28">
        <v>5</v>
      </c>
      <c r="AL28">
        <v>5</v>
      </c>
      <c r="AM28">
        <v>10</v>
      </c>
      <c r="AN28">
        <v>5</v>
      </c>
      <c r="AO28" s="1"/>
      <c r="AP28" s="1">
        <v>0</v>
      </c>
      <c r="AQ28" s="1">
        <f>SUM(AJ28:AP28)</f>
        <v>35</v>
      </c>
      <c r="AR28" s="66"/>
      <c r="AS28" s="66"/>
      <c r="AT28" s="66"/>
      <c r="AU28" s="66"/>
    </row>
    <row r="29" spans="1:47">
      <c r="A29" s="65">
        <v>46022</v>
      </c>
      <c r="B29" s="65" t="str">
        <f t="shared" si="5"/>
        <v>Dec 2025</v>
      </c>
      <c r="C29" s="129" t="s">
        <v>378</v>
      </c>
      <c r="D29" s="20">
        <f>10%*SUM(D8:D28)</f>
        <v>89</v>
      </c>
      <c r="E29" s="20">
        <f t="shared" ref="E29:J29" si="41">10%*SUM(E8:E28)</f>
        <v>39</v>
      </c>
      <c r="F29" s="20">
        <f t="shared" si="41"/>
        <v>59.5</v>
      </c>
      <c r="G29" s="20">
        <f t="shared" si="41"/>
        <v>119</v>
      </c>
      <c r="H29" s="20">
        <f t="shared" si="41"/>
        <v>47.5</v>
      </c>
      <c r="I29" s="20">
        <f t="shared" si="41"/>
        <v>67.5</v>
      </c>
      <c r="J29" s="20">
        <f t="shared" si="41"/>
        <v>31</v>
      </c>
      <c r="K29" s="20">
        <f>K23</f>
        <v>3777.7777777777778</v>
      </c>
      <c r="L29" s="20">
        <f>D29*K29+E29*K29+F29*K29+G29*K29+H29*K29+I29*K29+J29*K29</f>
        <v>1709444.4444444445</v>
      </c>
      <c r="M29" s="125">
        <v>46034</v>
      </c>
      <c r="N29" s="121" t="str">
        <f t="shared" si="1"/>
        <v>Jan 2026</v>
      </c>
      <c r="O29" s="121" t="s">
        <v>136</v>
      </c>
      <c r="P29">
        <v>20</v>
      </c>
      <c r="Q29">
        <v>20</v>
      </c>
      <c r="R29">
        <v>20</v>
      </c>
      <c r="T29">
        <v>20</v>
      </c>
      <c r="V29">
        <v>20</v>
      </c>
      <c r="W29" s="20">
        <f t="shared" si="0"/>
        <v>4700</v>
      </c>
      <c r="X29" s="20">
        <f t="shared" si="3"/>
        <v>470000</v>
      </c>
      <c r="AI29" s="1" t="s">
        <v>138</v>
      </c>
      <c r="AJ29" s="1" cm="1">
        <f t="array" ref="AJ29">IFERROR(_xlfn.IFS(AJ28&lt;=10,17000,AJ28&lt;=30,15000,AJ28&lt;=50,14000,AJ28&lt;=100,13750),"")</f>
        <v>17000</v>
      </c>
      <c r="AK29" s="1" cm="1">
        <f t="array" ref="AK29">IFERROR(_xlfn.IFS(AK28&lt;=10,18000,AK28&lt;=30,17500,AK28&lt;=50,17000,AK28&lt;=100,16750),"")</f>
        <v>18000</v>
      </c>
      <c r="AL29" s="1" cm="1">
        <f t="array" ref="AL29">IFERROR(_xlfn.IFS(AL28&lt;=10,19500,AL28&lt;=30,19200,AL28&lt;=50,19000,AL28&lt;=100,18500),"")</f>
        <v>19500</v>
      </c>
      <c r="AM29" s="1" cm="1">
        <f t="array" ref="AM29">IFERROR(_xlfn.IFS(AM28&lt;=10,21000,AM28&lt;=30,20700,AM28&lt;=50,19800,AM28&lt;=100,18800),"")</f>
        <v>21000</v>
      </c>
      <c r="AN29" s="1" cm="1">
        <f t="array" ref="AN29">IFERROR(_xlfn.IFS(AN28&lt;=10,25000,AN28&lt;=30,23000,AN28&lt;=50,21000,AN28&lt;=100,20000),"")</f>
        <v>25000</v>
      </c>
      <c r="AO29" s="1" cm="1">
        <f t="array" ref="AO29">IFERROR(_xlfn.IFS(AO28&lt;=10,17000,AO28&lt;=30,15000,AO28&lt;=50,14000,AO28&lt;=100,13750),"")</f>
        <v>17000</v>
      </c>
      <c r="AP29" s="1" cm="1">
        <f t="array" ref="AP29">IFERROR(_xlfn.IFS(AP28&lt;=10,21000,AP28&lt;=30,20700,AP28&lt;=50,19800,AP28&lt;=100,18800),"")</f>
        <v>21000</v>
      </c>
      <c r="AQ29" s="1">
        <f>AVERAGE(AJ29:AP29)</f>
        <v>19785.714285714286</v>
      </c>
      <c r="AR29" s="66"/>
      <c r="AS29" s="66"/>
      <c r="AT29" s="66"/>
      <c r="AU29" s="66"/>
    </row>
    <row r="30" spans="1:47">
      <c r="A30" s="130">
        <v>46026</v>
      </c>
      <c r="B30" s="65" t="str">
        <f t="shared" si="5"/>
        <v>Jan 2026</v>
      </c>
      <c r="C30" s="129" t="str">
        <f>C174</f>
        <v>PD KAIN (ASWIN)</v>
      </c>
      <c r="D30" s="20">
        <v>30</v>
      </c>
      <c r="E30" s="20">
        <v>30</v>
      </c>
      <c r="F30" s="20"/>
      <c r="G30" s="20">
        <v>30</v>
      </c>
      <c r="H30" s="20">
        <v>30</v>
      </c>
      <c r="I30" s="20"/>
      <c r="J30" s="20">
        <v>30</v>
      </c>
      <c r="K30" s="20">
        <f>SUM($L$30:$L$34)/SUM($D$30:$J$34)</f>
        <v>4700</v>
      </c>
      <c r="L30" s="20">
        <f>SUMPRODUCT(PERSEDIAAN[[#This Row],[KATUN]:[SUTRA]],$D$174:$J$174)</f>
        <v>525000</v>
      </c>
      <c r="M30" s="125">
        <v>46034</v>
      </c>
      <c r="N30" s="121" t="str">
        <f t="shared" si="1"/>
        <v>Jan 2026</v>
      </c>
      <c r="O30" s="121" t="s">
        <v>137</v>
      </c>
      <c r="P30">
        <v>10</v>
      </c>
      <c r="Q30">
        <v>20</v>
      </c>
      <c r="R30">
        <v>10</v>
      </c>
      <c r="S30">
        <v>20</v>
      </c>
      <c r="T30">
        <v>10</v>
      </c>
      <c r="U30">
        <v>20</v>
      </c>
      <c r="V30">
        <v>10</v>
      </c>
      <c r="W30" s="20">
        <f t="shared" si="0"/>
        <v>4700</v>
      </c>
      <c r="X30" s="20">
        <f t="shared" si="3"/>
        <v>470000</v>
      </c>
      <c r="AI30" t="s">
        <v>139</v>
      </c>
      <c r="AJ30" s="1">
        <f>IFERROR(AJ28*AJ29,"")</f>
        <v>170000</v>
      </c>
      <c r="AK30" s="1">
        <f t="shared" ref="AK30" si="42">IFERROR(AK28*AK29,"")</f>
        <v>90000</v>
      </c>
      <c r="AL30" s="1">
        <f t="shared" ref="AL30" si="43">IFERROR(AL28*AL29,"")</f>
        <v>97500</v>
      </c>
      <c r="AM30" s="1">
        <f t="shared" ref="AM30" si="44">IFERROR(AM28*AM29,"")</f>
        <v>210000</v>
      </c>
      <c r="AN30" s="1">
        <f t="shared" ref="AN30" si="45">IFERROR(AN28*AN29,"")</f>
        <v>125000</v>
      </c>
      <c r="AO30" s="1">
        <f t="shared" ref="AO30" si="46">IFERROR(AO28*AO29,"")</f>
        <v>0</v>
      </c>
      <c r="AP30" s="1">
        <f t="shared" ref="AP30" si="47">IFERROR(AP28*AP29,"")</f>
        <v>0</v>
      </c>
      <c r="AQ30" s="3">
        <f>SUM(Penjualan[[#This Row],[KATUN]:[SUTRA]])</f>
        <v>692500</v>
      </c>
      <c r="AR30" s="66">
        <f>AQ30*11%</f>
        <v>76175</v>
      </c>
      <c r="AS30" s="66">
        <f>Penjualan[[#This Row],[JUMLAH]]+Penjualan[[#This Row],[Pajak 11%]]</f>
        <v>768675</v>
      </c>
      <c r="AT30" s="66">
        <v>18675</v>
      </c>
      <c r="AU30" s="66">
        <f>Penjualan[[#This Row],[Jumlah + Tax]]-Penjualan[[#This Row],[Diskon]]</f>
        <v>750000</v>
      </c>
    </row>
    <row r="31" spans="1:47">
      <c r="A31" s="130">
        <v>46026</v>
      </c>
      <c r="B31" s="65" t="str">
        <f t="shared" si="5"/>
        <v>Jan 2026</v>
      </c>
      <c r="C31" s="129" t="str">
        <f>C173</f>
        <v>SYAFIQ</v>
      </c>
      <c r="D31" s="20">
        <v>20</v>
      </c>
      <c r="E31" s="20">
        <v>20</v>
      </c>
      <c r="F31" s="20">
        <v>20</v>
      </c>
      <c r="G31" s="20">
        <v>20</v>
      </c>
      <c r="H31" s="20">
        <v>20</v>
      </c>
      <c r="I31" s="20"/>
      <c r="J31" s="20">
        <v>20</v>
      </c>
      <c r="K31" s="20">
        <f t="shared" ref="K31:K34" si="48">SUM($L$30:$L$34)/SUM($D$30:$J$34)</f>
        <v>4700</v>
      </c>
      <c r="L31" s="20">
        <f>SUMPRODUCT(PERSEDIAAN[[#This Row],[KATUN]:[SUTRA]],$D$173:$J$173)</f>
        <v>460000</v>
      </c>
      <c r="M31" s="125">
        <v>46034</v>
      </c>
      <c r="N31" s="121" t="str">
        <f t="shared" si="1"/>
        <v>Jan 2026</v>
      </c>
      <c r="O31" s="121" t="s">
        <v>145</v>
      </c>
      <c r="P31">
        <v>20</v>
      </c>
      <c r="Q31">
        <v>10</v>
      </c>
      <c r="R31">
        <v>20</v>
      </c>
      <c r="S31">
        <v>10</v>
      </c>
      <c r="T31">
        <v>20</v>
      </c>
      <c r="U31">
        <v>10</v>
      </c>
      <c r="V31">
        <v>20</v>
      </c>
      <c r="W31" s="20">
        <f t="shared" si="0"/>
        <v>4700</v>
      </c>
      <c r="X31" s="20">
        <f t="shared" si="3"/>
        <v>517000</v>
      </c>
      <c r="AH31" s="48">
        <v>45775</v>
      </c>
      <c r="AI31" s="65" t="str">
        <f>"Jumlah Beli"&amp;" "&amp;O15</f>
        <v>Jumlah Beli Ghost C</v>
      </c>
      <c r="AJ31" s="42">
        <v>0</v>
      </c>
      <c r="AK31" s="42">
        <v>0</v>
      </c>
      <c r="AL31" s="42">
        <v>25</v>
      </c>
      <c r="AM31" s="42">
        <v>50</v>
      </c>
      <c r="AN31" s="42">
        <v>0</v>
      </c>
      <c r="AO31" s="42">
        <v>5</v>
      </c>
      <c r="AP31" s="42">
        <v>5</v>
      </c>
      <c r="AQ31" s="1">
        <f>SUM(AJ31:AP31)</f>
        <v>85</v>
      </c>
      <c r="AR31" s="66"/>
      <c r="AS31" s="66"/>
      <c r="AT31" s="66"/>
      <c r="AU31" s="66"/>
    </row>
    <row r="32" spans="1:47">
      <c r="A32" s="130">
        <v>46026</v>
      </c>
      <c r="B32" s="65" t="str">
        <f t="shared" si="5"/>
        <v>Jan 2026</v>
      </c>
      <c r="C32" s="129" t="str">
        <f>C168</f>
        <v>BY LAV (ANDILA)</v>
      </c>
      <c r="D32" s="20">
        <v>50</v>
      </c>
      <c r="E32" s="20">
        <v>50</v>
      </c>
      <c r="F32" s="20">
        <v>50</v>
      </c>
      <c r="G32" s="20">
        <v>50</v>
      </c>
      <c r="H32" s="20">
        <v>50</v>
      </c>
      <c r="I32" s="20">
        <v>50</v>
      </c>
      <c r="J32" s="20">
        <v>50</v>
      </c>
      <c r="K32" s="20">
        <f t="shared" si="48"/>
        <v>4700</v>
      </c>
      <c r="L32" s="20">
        <f>SUMPRODUCT(PERSEDIAAN[[#This Row],[KATUN]:[SUTRA]],$D$168:$J$168)</f>
        <v>1725000</v>
      </c>
      <c r="M32" s="125">
        <v>46034</v>
      </c>
      <c r="N32" s="121" t="str">
        <f t="shared" si="1"/>
        <v>Jan 2026</v>
      </c>
      <c r="O32" s="121" t="s">
        <v>152</v>
      </c>
      <c r="P32">
        <v>10</v>
      </c>
      <c r="Q32">
        <v>20</v>
      </c>
      <c r="R32">
        <v>20</v>
      </c>
      <c r="S32">
        <v>20</v>
      </c>
      <c r="T32">
        <v>10</v>
      </c>
      <c r="U32">
        <v>20</v>
      </c>
      <c r="V32">
        <v>20</v>
      </c>
      <c r="W32" s="20">
        <f t="shared" si="0"/>
        <v>4700</v>
      </c>
      <c r="X32" s="20">
        <f t="shared" si="3"/>
        <v>564000</v>
      </c>
      <c r="AI32" s="1" t="s">
        <v>138</v>
      </c>
      <c r="AJ32" s="1" cm="1">
        <f t="array" ref="AJ32">IFERROR(_xlfn.IFS(AJ31&lt;=10,17000,AJ31&lt;=30,15000,AJ31&lt;=50,14000,AJ31&lt;=100,13750),"")</f>
        <v>17000</v>
      </c>
      <c r="AK32" s="1" cm="1">
        <f t="array" ref="AK32">IFERROR(_xlfn.IFS(AK31&lt;=10,18000,AK31&lt;=30,17500,AK31&lt;=50,17000,AK31&lt;=100,16750),"")</f>
        <v>18000</v>
      </c>
      <c r="AL32" s="1" cm="1">
        <f t="array" ref="AL32">IFERROR(_xlfn.IFS(AL31&lt;=10,19500,AL31&lt;=30,19200,AL31&lt;=50,19000,AL31&lt;=100,18500),"")</f>
        <v>19200</v>
      </c>
      <c r="AM32" s="1" cm="1">
        <f t="array" ref="AM32">IFERROR(_xlfn.IFS(AM31&lt;=10,21000,AM31&lt;=30,20700,AM31&lt;=50,19800,AM31&lt;=100,18800),"")</f>
        <v>19800</v>
      </c>
      <c r="AN32" s="1" cm="1">
        <f t="array" ref="AN32">IFERROR(_xlfn.IFS(AN31&lt;=10,25000,AN31&lt;=30,23000,AN31&lt;=50,21000,AN31&lt;=100,20000),"")</f>
        <v>25000</v>
      </c>
      <c r="AO32" s="1" cm="1">
        <f t="array" ref="AO32">IFERROR(_xlfn.IFS(AO31&lt;=10,17000,AO31&lt;=30,15000,AO31&lt;=50,14000,AO31&lt;=100,13750),"")</f>
        <v>17000</v>
      </c>
      <c r="AP32" s="1" cm="1">
        <f t="array" ref="AP32">IFERROR(_xlfn.IFS(AP31&lt;=10,21000,AP31&lt;=30,20700,AP31&lt;=50,19800,AP31&lt;=100,18800),"")</f>
        <v>21000</v>
      </c>
      <c r="AQ32" s="1">
        <f>AVERAGE(AJ32:AP32)</f>
        <v>19571.428571428572</v>
      </c>
      <c r="AR32" s="66"/>
      <c r="AS32" s="66"/>
      <c r="AT32" s="66"/>
      <c r="AU32" s="66"/>
    </row>
    <row r="33" spans="1:48">
      <c r="A33" s="130">
        <v>46026</v>
      </c>
      <c r="B33" s="65" t="str">
        <f t="shared" si="5"/>
        <v>Jan 2026</v>
      </c>
      <c r="C33" s="129" t="str">
        <f>C166</f>
        <v>TOKO FADH (HUSNA)</v>
      </c>
      <c r="D33" s="20">
        <v>20</v>
      </c>
      <c r="E33" s="20">
        <v>20</v>
      </c>
      <c r="F33" s="20">
        <v>20</v>
      </c>
      <c r="G33" s="20">
        <v>20</v>
      </c>
      <c r="H33" s="20">
        <v>20</v>
      </c>
      <c r="I33" s="20">
        <v>20</v>
      </c>
      <c r="J33" s="20">
        <v>20</v>
      </c>
      <c r="K33" s="20">
        <f t="shared" si="48"/>
        <v>4700</v>
      </c>
      <c r="L33" s="20">
        <f>SUMPRODUCT(PERSEDIAAN[[#This Row],[KATUN]:[SUTRA]],$D$166:$J$166)</f>
        <v>640000</v>
      </c>
      <c r="M33" s="125">
        <v>46034</v>
      </c>
      <c r="N33" s="121" t="str">
        <f t="shared" si="1"/>
        <v>Jan 2026</v>
      </c>
      <c r="O33" s="121" t="s">
        <v>153</v>
      </c>
      <c r="P33">
        <v>10</v>
      </c>
      <c r="Q33" s="3">
        <v>10</v>
      </c>
      <c r="R33">
        <v>10</v>
      </c>
      <c r="S33">
        <v>20</v>
      </c>
      <c r="T33">
        <v>20</v>
      </c>
      <c r="U33">
        <v>20</v>
      </c>
      <c r="V33">
        <v>10</v>
      </c>
      <c r="W33" s="20">
        <f t="shared" si="0"/>
        <v>4700</v>
      </c>
      <c r="X33" s="20">
        <f t="shared" si="3"/>
        <v>470000</v>
      </c>
      <c r="AI33" t="s">
        <v>139</v>
      </c>
      <c r="AJ33" s="1">
        <f>IFERROR(AJ31*AJ32,"")</f>
        <v>0</v>
      </c>
      <c r="AK33" s="1">
        <f t="shared" ref="AK33" si="49">IFERROR(AK31*AK32,"")</f>
        <v>0</v>
      </c>
      <c r="AL33" s="1">
        <f t="shared" ref="AL33" si="50">IFERROR(AL31*AL32,"")</f>
        <v>480000</v>
      </c>
      <c r="AM33" s="1">
        <f t="shared" ref="AM33" si="51">IFERROR(AM31*AM32,"")</f>
        <v>990000</v>
      </c>
      <c r="AN33" s="1">
        <f t="shared" ref="AN33" si="52">IFERROR(AN31*AN32,"")</f>
        <v>0</v>
      </c>
      <c r="AO33" s="1">
        <f t="shared" ref="AO33" si="53">IFERROR(AO31*AO32,"")</f>
        <v>85000</v>
      </c>
      <c r="AP33" s="1">
        <f t="shared" ref="AP33" si="54">IFERROR(AP31*AP32,"")</f>
        <v>105000</v>
      </c>
      <c r="AQ33" s="3">
        <f>SUM(Penjualan[[#This Row],[KATUN]:[SUTRA]])</f>
        <v>1660000</v>
      </c>
      <c r="AR33" s="66">
        <f>AQ33*11%</f>
        <v>182600</v>
      </c>
      <c r="AS33" s="66">
        <f>Penjualan[[#This Row],[JUMLAH]]+Penjualan[[#This Row],[Pajak 11%]]</f>
        <v>1842600</v>
      </c>
      <c r="AT33" s="66">
        <v>12600</v>
      </c>
      <c r="AU33" s="66">
        <f>Penjualan[[#This Row],[Jumlah + Tax]]-Penjualan[[#This Row],[Diskon]]</f>
        <v>1830000</v>
      </c>
      <c r="AV33" s="89"/>
    </row>
    <row r="34" spans="1:48">
      <c r="A34" s="130">
        <v>46026</v>
      </c>
      <c r="B34" s="65" t="str">
        <f t="shared" si="5"/>
        <v>Jan 2026</v>
      </c>
      <c r="C34" s="129" t="str">
        <f>C171</f>
        <v>TRUE TRHEAD(SAMUEL)</v>
      </c>
      <c r="D34" s="20">
        <v>20</v>
      </c>
      <c r="E34" s="20">
        <v>20</v>
      </c>
      <c r="F34" s="20">
        <v>20</v>
      </c>
      <c r="G34" s="20">
        <v>20</v>
      </c>
      <c r="H34" s="20">
        <v>20</v>
      </c>
      <c r="I34" s="20">
        <v>20</v>
      </c>
      <c r="J34" s="20">
        <v>20</v>
      </c>
      <c r="K34" s="20">
        <f t="shared" si="48"/>
        <v>4700</v>
      </c>
      <c r="L34" s="20">
        <f>SUMPRODUCT(PERSEDIAAN[[#This Row],[KATUN]:[SUTRA]],$D$171:$J$171)</f>
        <v>880000</v>
      </c>
      <c r="M34" s="125">
        <v>46034</v>
      </c>
      <c r="N34" s="121" t="str">
        <f t="shared" si="1"/>
        <v>Jan 2026</v>
      </c>
      <c r="O34" s="121" t="s">
        <v>154</v>
      </c>
      <c r="P34">
        <v>20</v>
      </c>
      <c r="Q34" s="3">
        <v>10</v>
      </c>
      <c r="R34">
        <v>20</v>
      </c>
      <c r="S34">
        <v>10</v>
      </c>
      <c r="T34">
        <v>20</v>
      </c>
      <c r="U34">
        <v>10</v>
      </c>
      <c r="V34">
        <v>20</v>
      </c>
      <c r="W34" s="20">
        <f t="shared" si="0"/>
        <v>4700</v>
      </c>
      <c r="X34" s="20">
        <f t="shared" si="3"/>
        <v>517000</v>
      </c>
      <c r="AI34" s="65" t="str">
        <f>"Jumlah Beli"&amp;" "&amp;O16</f>
        <v>Jumlah Beli Ghost B</v>
      </c>
      <c r="AJ34" s="42">
        <v>0</v>
      </c>
      <c r="AK34" s="42">
        <v>0</v>
      </c>
      <c r="AL34" s="42">
        <v>0</v>
      </c>
      <c r="AM34" s="42">
        <v>5</v>
      </c>
      <c r="AN34" s="42">
        <v>5</v>
      </c>
      <c r="AO34" s="42">
        <v>5</v>
      </c>
      <c r="AP34" s="42">
        <v>0</v>
      </c>
      <c r="AQ34" s="1">
        <f>SUM(AJ34:AP34)</f>
        <v>15</v>
      </c>
      <c r="AR34" s="66"/>
      <c r="AS34" s="66"/>
      <c r="AT34" s="66"/>
      <c r="AU34" s="66"/>
    </row>
    <row r="35" spans="1:48">
      <c r="A35" s="130">
        <v>46061</v>
      </c>
      <c r="B35" s="65" t="str">
        <f t="shared" si="5"/>
        <v>Feb 2026</v>
      </c>
      <c r="C35" s="129" t="str">
        <f>C173</f>
        <v>SYAFIQ</v>
      </c>
      <c r="D35" s="20">
        <v>40</v>
      </c>
      <c r="E35" s="20">
        <v>40</v>
      </c>
      <c r="F35" s="20">
        <v>40</v>
      </c>
      <c r="G35" s="20">
        <v>40</v>
      </c>
      <c r="H35" s="20">
        <v>40</v>
      </c>
      <c r="I35" s="20"/>
      <c r="J35" s="20">
        <v>40</v>
      </c>
      <c r="K35" s="20" cm="1">
        <f t="array" ref="K35">SUM($L$35:$L$39/SUM($D$35:$J$39))</f>
        <v>4726.5625</v>
      </c>
      <c r="L35" s="20">
        <f>SUMPRODUCT(PERSEDIAAN[[#This Row],[KATUN]:[SUTRA]],$D$173:$J$173)</f>
        <v>920000</v>
      </c>
      <c r="M35" s="125">
        <v>46034</v>
      </c>
      <c r="N35" s="121" t="str">
        <f t="shared" si="1"/>
        <v>Jan 2026</v>
      </c>
      <c r="O35" s="121" t="s">
        <v>155</v>
      </c>
      <c r="P35">
        <v>10</v>
      </c>
      <c r="Q35" s="3">
        <v>10</v>
      </c>
      <c r="S35">
        <v>20</v>
      </c>
      <c r="U35">
        <v>20</v>
      </c>
      <c r="W35" s="20">
        <f t="shared" si="0"/>
        <v>4700</v>
      </c>
      <c r="X35" s="20">
        <f t="shared" si="3"/>
        <v>282000</v>
      </c>
      <c r="AI35" s="1" t="s">
        <v>138</v>
      </c>
      <c r="AJ35" s="1" cm="1">
        <f t="array" ref="AJ35">IFERROR(_xlfn.IFS(AJ34&lt;=10,17000,AJ34&lt;=30,15000,AJ34&lt;=50,14000,AJ34&lt;=100,13750),"")</f>
        <v>17000</v>
      </c>
      <c r="AK35" s="1" cm="1">
        <f t="array" ref="AK35">IFERROR(_xlfn.IFS(AK34&lt;=10,18000,AK34&lt;=30,17500,AK34&lt;=50,17000,AK34&lt;=100,16750),"")</f>
        <v>18000</v>
      </c>
      <c r="AL35" s="1" cm="1">
        <f t="array" ref="AL35">IFERROR(_xlfn.IFS(AL34&lt;=10,19500,AL34&lt;=30,19200,AL34&lt;=50,19000,AL34&lt;=100,18500),"")</f>
        <v>19500</v>
      </c>
      <c r="AM35" s="1" cm="1">
        <f t="array" ref="AM35">IFERROR(_xlfn.IFS(AM34&lt;=10,21000,AM34&lt;=30,20700,AM34&lt;=50,19800,AM34&lt;=100,18800),"")</f>
        <v>21000</v>
      </c>
      <c r="AN35" s="1" cm="1">
        <f t="array" ref="AN35">IFERROR(_xlfn.IFS(AN34&lt;=10,25000,AN34&lt;=30,23000,AN34&lt;=50,21000,AN34&lt;=100,20000),"")</f>
        <v>25000</v>
      </c>
      <c r="AO35" s="1" cm="1">
        <f t="array" ref="AO35">IFERROR(_xlfn.IFS(AO34&lt;=10,17000,AO34&lt;=30,15000,AO34&lt;=50,14000,AO34&lt;=100,13750),"")</f>
        <v>17000</v>
      </c>
      <c r="AP35" s="1" cm="1">
        <f t="array" ref="AP35">IFERROR(_xlfn.IFS(AP34&lt;=10,21000,AP34&lt;=30,20700,AP34&lt;=50,19800,AP34&lt;=100,18800),"")</f>
        <v>21000</v>
      </c>
      <c r="AQ35" s="1">
        <f>AVERAGE(AJ35:AP35)</f>
        <v>19785.714285714286</v>
      </c>
      <c r="AR35" s="66"/>
      <c r="AS35" s="66"/>
      <c r="AT35" s="66"/>
      <c r="AU35" s="66"/>
    </row>
    <row r="36" spans="1:48">
      <c r="A36" s="130">
        <v>46061</v>
      </c>
      <c r="B36" s="65" t="str">
        <f t="shared" si="5"/>
        <v>Feb 2026</v>
      </c>
      <c r="C36" s="129" t="str">
        <f>C174</f>
        <v>PD KAIN (ASWIN)</v>
      </c>
      <c r="D36" s="20">
        <v>40</v>
      </c>
      <c r="E36" s="20">
        <v>40</v>
      </c>
      <c r="F36" s="20"/>
      <c r="G36" s="20">
        <v>40</v>
      </c>
      <c r="H36" s="20">
        <v>40</v>
      </c>
      <c r="I36" s="20"/>
      <c r="J36" s="20">
        <v>40</v>
      </c>
      <c r="K36" s="20" cm="1">
        <f t="array" ref="K36">SUM($L$35:$L$39/SUM($D$35:$J$39))</f>
        <v>4726.5625</v>
      </c>
      <c r="L36" s="20">
        <f>SUMPRODUCT(PERSEDIAAN[[#This Row],[KATUN]:[SUTRA]],$D$174:$J$174)</f>
        <v>700000</v>
      </c>
      <c r="M36" s="125">
        <v>46071</v>
      </c>
      <c r="N36" s="121" t="str">
        <f t="shared" si="1"/>
        <v>Feb 2026</v>
      </c>
      <c r="O36" s="121" t="s">
        <v>136</v>
      </c>
      <c r="P36">
        <v>30</v>
      </c>
      <c r="Q36">
        <v>30</v>
      </c>
      <c r="R36">
        <v>10</v>
      </c>
      <c r="S36">
        <v>20</v>
      </c>
      <c r="T36">
        <v>40</v>
      </c>
      <c r="U36">
        <v>40</v>
      </c>
      <c r="V36">
        <v>30</v>
      </c>
      <c r="W36" s="20">
        <f t="shared" si="0"/>
        <v>4726.5625</v>
      </c>
      <c r="X36" s="20">
        <f t="shared" si="3"/>
        <v>945312.5</v>
      </c>
      <c r="AI36" t="s">
        <v>139</v>
      </c>
      <c r="AJ36" s="1">
        <f>IFERROR(AJ34*AJ35,"")</f>
        <v>0</v>
      </c>
      <c r="AK36" s="1">
        <f t="shared" ref="AK36" si="55">IFERROR(AK34*AK35,"")</f>
        <v>0</v>
      </c>
      <c r="AL36" s="1">
        <f t="shared" ref="AL36" si="56">IFERROR(AL34*AL35,"")</f>
        <v>0</v>
      </c>
      <c r="AM36" s="1">
        <f t="shared" ref="AM36" si="57">IFERROR(AM34*AM35,"")</f>
        <v>105000</v>
      </c>
      <c r="AN36" s="1">
        <f t="shared" ref="AN36" si="58">IFERROR(AN34*AN35,"")</f>
        <v>125000</v>
      </c>
      <c r="AO36" s="1">
        <f t="shared" ref="AO36" si="59">IFERROR(AO34*AO35,"")</f>
        <v>85000</v>
      </c>
      <c r="AP36" s="1">
        <f t="shared" ref="AP36" si="60">IFERROR(AP34*AP35,"")</f>
        <v>0</v>
      </c>
      <c r="AQ36" s="3">
        <f>SUM(Penjualan[[#This Row],[KATUN]:[SUTRA]])</f>
        <v>315000</v>
      </c>
      <c r="AR36" s="66">
        <f>AQ36*11%</f>
        <v>34650</v>
      </c>
      <c r="AS36" s="66">
        <f>Penjualan[[#This Row],[JUMLAH]]+Penjualan[[#This Row],[Pajak 11%]]</f>
        <v>349650</v>
      </c>
      <c r="AT36" s="66">
        <v>9650</v>
      </c>
      <c r="AU36" s="66">
        <f>Penjualan[[#This Row],[Jumlah + Tax]]-Penjualan[[#This Row],[Diskon]]</f>
        <v>340000</v>
      </c>
    </row>
    <row r="37" spans="1:48">
      <c r="A37" s="130">
        <v>46061</v>
      </c>
      <c r="B37" s="65" t="str">
        <f t="shared" si="5"/>
        <v>Feb 2026</v>
      </c>
      <c r="C37" s="129" t="str">
        <f>C171</f>
        <v>TRUE TRHEAD(SAMUEL)</v>
      </c>
      <c r="D37" s="20">
        <v>40</v>
      </c>
      <c r="E37" s="20">
        <v>40</v>
      </c>
      <c r="F37" s="20">
        <v>40</v>
      </c>
      <c r="G37" s="20">
        <v>40</v>
      </c>
      <c r="H37" s="20">
        <v>40</v>
      </c>
      <c r="I37" s="20">
        <v>40</v>
      </c>
      <c r="J37" s="20">
        <v>40</v>
      </c>
      <c r="K37" s="20" cm="1">
        <f t="array" ref="K37">SUM($L$35:$L$39/SUM($D$35:$J$39))</f>
        <v>4726.5625</v>
      </c>
      <c r="L37" s="20">
        <f>SUMPRODUCT(PERSEDIAAN[[#This Row],[KATUN]:[SUTRA]],$D$171:$J$171)</f>
        <v>1760000</v>
      </c>
      <c r="M37" s="125">
        <v>46071</v>
      </c>
      <c r="N37" s="121" t="str">
        <f t="shared" si="1"/>
        <v>Feb 2026</v>
      </c>
      <c r="O37" s="121" t="s">
        <v>137</v>
      </c>
      <c r="P37">
        <v>10</v>
      </c>
      <c r="Q37" s="3">
        <v>40</v>
      </c>
      <c r="R37">
        <v>20</v>
      </c>
      <c r="S37">
        <v>100</v>
      </c>
      <c r="T37">
        <v>20</v>
      </c>
      <c r="U37">
        <v>20</v>
      </c>
      <c r="V37">
        <v>50</v>
      </c>
      <c r="W37" s="20">
        <f t="shared" si="0"/>
        <v>4726.5625</v>
      </c>
      <c r="X37" s="20">
        <f t="shared" si="3"/>
        <v>1228906.25</v>
      </c>
      <c r="AH37" s="48">
        <v>45805</v>
      </c>
      <c r="AI37" s="65" t="str">
        <f>"Jumlah Beli"&amp;" "&amp;O17</f>
        <v>Jumlah Beli Ghost B</v>
      </c>
      <c r="AJ37" s="42">
        <v>50</v>
      </c>
      <c r="AK37" s="42">
        <v>0</v>
      </c>
      <c r="AL37" s="42">
        <v>70</v>
      </c>
      <c r="AM37" s="42">
        <v>50</v>
      </c>
      <c r="AN37" s="42">
        <v>0</v>
      </c>
      <c r="AO37" s="42">
        <v>50</v>
      </c>
      <c r="AP37" s="42">
        <v>0</v>
      </c>
      <c r="AQ37" s="1">
        <f>SUM(AJ37:AP37)</f>
        <v>220</v>
      </c>
      <c r="AR37" s="66"/>
      <c r="AS37" s="66"/>
      <c r="AT37" s="66"/>
      <c r="AU37" s="66"/>
    </row>
    <row r="38" spans="1:48">
      <c r="A38" s="130">
        <v>46061</v>
      </c>
      <c r="B38" s="65" t="str">
        <f t="shared" si="5"/>
        <v>Feb 2026</v>
      </c>
      <c r="C38" t="str">
        <f>C168</f>
        <v>BY LAV (ANDILA)</v>
      </c>
      <c r="D38" s="20">
        <v>20</v>
      </c>
      <c r="E38" s="20">
        <v>20</v>
      </c>
      <c r="F38" s="20">
        <v>20</v>
      </c>
      <c r="G38" s="20">
        <v>20</v>
      </c>
      <c r="H38" s="20">
        <v>20</v>
      </c>
      <c r="I38" s="20">
        <v>20</v>
      </c>
      <c r="J38" s="20">
        <v>20</v>
      </c>
      <c r="K38" s="20" cm="1">
        <f t="array" ref="K38">SUM($L$35:$L$39/SUM($D$35:$J$39))</f>
        <v>4726.5625</v>
      </c>
      <c r="L38" s="20">
        <f>SUMPRODUCT(PERSEDIAAN[[#This Row],[KATUN]:[SUTRA]],$D$168:$J$168)</f>
        <v>690000</v>
      </c>
      <c r="M38" s="125">
        <v>46071</v>
      </c>
      <c r="N38" s="121" t="str">
        <f t="shared" si="1"/>
        <v>Feb 2026</v>
      </c>
      <c r="O38" s="121" t="s">
        <v>145</v>
      </c>
      <c r="P38">
        <v>20</v>
      </c>
      <c r="Q38" s="3">
        <v>40</v>
      </c>
      <c r="R38">
        <v>20</v>
      </c>
      <c r="S38">
        <v>20</v>
      </c>
      <c r="T38">
        <v>20</v>
      </c>
      <c r="U38">
        <v>40</v>
      </c>
      <c r="V38">
        <v>20</v>
      </c>
      <c r="W38" s="20">
        <f t="shared" si="0"/>
        <v>4726.5625</v>
      </c>
      <c r="X38" s="20">
        <f t="shared" si="3"/>
        <v>850781.25</v>
      </c>
      <c r="AI38" s="1" t="s">
        <v>138</v>
      </c>
      <c r="AJ38" s="1" cm="1">
        <f t="array" ref="AJ38">IFERROR(_xlfn.IFS(AJ37&lt;=10,17000,AJ37&lt;=30,15000,AJ37&lt;=50,14000,AJ37&lt;=100,13750),"")</f>
        <v>14000</v>
      </c>
      <c r="AK38" s="1" cm="1">
        <f t="array" ref="AK38">IFERROR(_xlfn.IFS(AK37&lt;=10,18000,AK37&lt;=30,17500,AK37&lt;=50,17000,AK37&lt;=100,16750),"")</f>
        <v>18000</v>
      </c>
      <c r="AL38" s="1" cm="1">
        <f t="array" ref="AL38">IFERROR(_xlfn.IFS(AL37&lt;=10,19500,AL37&lt;=30,19200,AL37&lt;=50,19000,AL37&lt;=100,18500),"")</f>
        <v>18500</v>
      </c>
      <c r="AM38" s="1" cm="1">
        <f t="array" ref="AM38">IFERROR(_xlfn.IFS(AM37&lt;=10,21000,AM37&lt;=30,20700,AM37&lt;=50,19800,AM37&lt;=100,18800),"")</f>
        <v>19800</v>
      </c>
      <c r="AN38" s="1" cm="1">
        <f t="array" ref="AN38">IFERROR(_xlfn.IFS(AN37&lt;=10,25000,AN37&lt;=30,23000,AN37&lt;=50,21000,AN37&lt;=100,20000),"")</f>
        <v>25000</v>
      </c>
      <c r="AO38" s="1" cm="1">
        <f t="array" ref="AO38">IFERROR(_xlfn.IFS(AO37&lt;=10,17000,AO37&lt;=30,15000,AO37&lt;=50,14000,AO37&lt;=100,13750),"")</f>
        <v>14000</v>
      </c>
      <c r="AP38" s="1" cm="1">
        <f t="array" ref="AP38">IFERROR(_xlfn.IFS(AP37&lt;=10,21000,AP37&lt;=30,20700,AP37&lt;=50,19800,AP37&lt;=100,18800),"")</f>
        <v>21000</v>
      </c>
      <c r="AQ38" s="1">
        <f>AVERAGE(AJ38:AP38)</f>
        <v>18614.285714285714</v>
      </c>
      <c r="AR38" s="66"/>
      <c r="AS38" s="66"/>
      <c r="AT38" s="66"/>
      <c r="AU38" s="66"/>
    </row>
    <row r="39" spans="1:48">
      <c r="A39" s="130">
        <v>46061</v>
      </c>
      <c r="B39" s="65" t="str">
        <f t="shared" si="5"/>
        <v>Feb 2026</v>
      </c>
      <c r="C39" t="str">
        <f>C166</f>
        <v>TOKO FADH (HUSNA)</v>
      </c>
      <c r="D39" s="20">
        <v>40</v>
      </c>
      <c r="E39" s="20">
        <v>60</v>
      </c>
      <c r="F39" s="20">
        <v>120</v>
      </c>
      <c r="G39" s="20">
        <v>40</v>
      </c>
      <c r="H39" s="20">
        <v>40</v>
      </c>
      <c r="I39" s="20">
        <v>40</v>
      </c>
      <c r="J39" s="20">
        <v>80</v>
      </c>
      <c r="K39" s="20" cm="1">
        <f t="array" ref="K39">SUM($L$35:$L$39/SUM($D$35:$J$39))</f>
        <v>4726.5625</v>
      </c>
      <c r="L39" s="20">
        <f>SUMPRODUCT(PERSEDIAAN[[#This Row],[KATUN]:[SUTRA]],$D$166:$J$166)</f>
        <v>1980000</v>
      </c>
      <c r="M39" s="125">
        <v>46071</v>
      </c>
      <c r="N39" s="121" t="str">
        <f t="shared" si="1"/>
        <v>Feb 2026</v>
      </c>
      <c r="O39" s="121" t="s">
        <v>152</v>
      </c>
      <c r="P39">
        <v>40</v>
      </c>
      <c r="Q39" s="3">
        <v>10</v>
      </c>
      <c r="R39">
        <v>20</v>
      </c>
      <c r="S39">
        <v>20</v>
      </c>
      <c r="T39">
        <v>30</v>
      </c>
      <c r="U39">
        <v>10</v>
      </c>
      <c r="V39">
        <v>10</v>
      </c>
      <c r="W39" s="20">
        <f t="shared" si="0"/>
        <v>4726.5625</v>
      </c>
      <c r="X39" s="20">
        <f t="shared" si="3"/>
        <v>661718.75</v>
      </c>
      <c r="AI39" t="s">
        <v>139</v>
      </c>
      <c r="AJ39" s="1">
        <f>IFERROR(AJ37*AJ38,"")</f>
        <v>700000</v>
      </c>
      <c r="AK39" s="1">
        <f t="shared" ref="AK39" si="61">IFERROR(AK37*AK38,"")</f>
        <v>0</v>
      </c>
      <c r="AL39" s="1">
        <f t="shared" ref="AL39" si="62">IFERROR(AL37*AL38,"")</f>
        <v>1295000</v>
      </c>
      <c r="AM39" s="1">
        <f t="shared" ref="AM39" si="63">IFERROR(AM37*AM38,"")</f>
        <v>990000</v>
      </c>
      <c r="AN39" s="1">
        <f t="shared" ref="AN39" si="64">IFERROR(AN37*AN38,"")</f>
        <v>0</v>
      </c>
      <c r="AO39" s="1">
        <f t="shared" ref="AO39" si="65">IFERROR(AO37*AO38,"")</f>
        <v>700000</v>
      </c>
      <c r="AP39" s="1">
        <f t="shared" ref="AP39" si="66">IFERROR(AP37*AP38,"")</f>
        <v>0</v>
      </c>
      <c r="AQ39" s="3">
        <f>SUM(Penjualan[[#This Row],[KATUN]:[SUTRA]])</f>
        <v>3685000</v>
      </c>
      <c r="AR39" s="66">
        <f>AQ39*11%</f>
        <v>405350</v>
      </c>
      <c r="AS39" s="66">
        <f>Penjualan[[#This Row],[JUMLAH]]+Penjualan[[#This Row],[Pajak 11%]]</f>
        <v>4090350</v>
      </c>
      <c r="AT39" s="66">
        <v>20350</v>
      </c>
      <c r="AU39" s="66">
        <f>Penjualan[[#This Row],[Jumlah + Tax]]-Penjualan[[#This Row],[Diskon]]</f>
        <v>4070000</v>
      </c>
    </row>
    <row r="40" spans="1:48">
      <c r="A40" s="130">
        <v>46089</v>
      </c>
      <c r="B40" s="65" t="str">
        <f t="shared" si="5"/>
        <v>Mar 2026</v>
      </c>
      <c r="C40" s="129" t="str">
        <f>C173</f>
        <v>SYAFIQ</v>
      </c>
      <c r="D40" s="144">
        <v>40</v>
      </c>
      <c r="E40" s="144">
        <v>30</v>
      </c>
      <c r="F40" s="144">
        <v>30</v>
      </c>
      <c r="G40" s="144">
        <v>50</v>
      </c>
      <c r="H40" s="144">
        <v>30</v>
      </c>
      <c r="I40" s="144">
        <v>20</v>
      </c>
      <c r="J40" s="144">
        <v>30</v>
      </c>
      <c r="K40" s="20" cm="1">
        <f t="array" ref="K40">SUM($L$40:$L$44/SUM($D$40:$J$44))</f>
        <v>4452.3809523809523</v>
      </c>
      <c r="L40" s="20">
        <f>SUMPRODUCT(PERSEDIAAN[[#This Row],[KATUN]:[SUTRA]],$D$173:$J$173)</f>
        <v>815000</v>
      </c>
      <c r="M40" s="125">
        <v>46071</v>
      </c>
      <c r="N40" s="121" t="str">
        <f t="shared" si="1"/>
        <v>Feb 2026</v>
      </c>
      <c r="O40" s="121" t="s">
        <v>153</v>
      </c>
      <c r="P40">
        <v>40</v>
      </c>
      <c r="Q40" s="3">
        <v>10</v>
      </c>
      <c r="R40">
        <v>40</v>
      </c>
      <c r="S40">
        <v>20</v>
      </c>
      <c r="T40">
        <v>40</v>
      </c>
      <c r="U40">
        <v>30</v>
      </c>
      <c r="V40">
        <v>30</v>
      </c>
      <c r="W40" s="20">
        <f t="shared" si="0"/>
        <v>4726.5625</v>
      </c>
      <c r="X40" s="20">
        <f t="shared" si="3"/>
        <v>992578.125</v>
      </c>
      <c r="AI40" s="65" t="str">
        <f>"Jumlah Beli"&amp;" "&amp;O18</f>
        <v>Jumlah Beli Ghost F</v>
      </c>
      <c r="AJ40" s="42">
        <v>0</v>
      </c>
      <c r="AK40" s="42">
        <v>0</v>
      </c>
      <c r="AL40" s="42">
        <v>50</v>
      </c>
      <c r="AM40" s="42">
        <v>50</v>
      </c>
      <c r="AN40" s="42">
        <v>0</v>
      </c>
      <c r="AO40" s="42">
        <v>50</v>
      </c>
      <c r="AP40" s="42">
        <v>0</v>
      </c>
      <c r="AQ40" s="1">
        <f>SUM(AJ40:AP40)</f>
        <v>150</v>
      </c>
      <c r="AR40" s="66"/>
      <c r="AS40" s="66"/>
      <c r="AT40" s="66"/>
      <c r="AU40" s="66"/>
    </row>
    <row r="41" spans="1:48">
      <c r="A41" s="130">
        <v>46089</v>
      </c>
      <c r="B41" s="65" t="str">
        <f t="shared" si="5"/>
        <v>Mar 2026</v>
      </c>
      <c r="C41" s="129" t="str">
        <f>C171</f>
        <v>TRUE TRHEAD(SAMUEL)</v>
      </c>
      <c r="D41" s="1">
        <v>30</v>
      </c>
      <c r="F41">
        <v>30</v>
      </c>
      <c r="G41">
        <v>100</v>
      </c>
      <c r="K41" s="20" cm="1">
        <f t="array" ref="K41">SUM($L$40:$L$44/SUM($D$40:$J$44))</f>
        <v>4452.3809523809523</v>
      </c>
      <c r="L41" s="20">
        <f>SUMPRODUCT(PERSEDIAAN[[#This Row],[KATUN]:[SUTRA]],$D$171:$J$171)</f>
        <v>570000</v>
      </c>
      <c r="M41" s="125">
        <v>46071</v>
      </c>
      <c r="N41" s="121" t="str">
        <f t="shared" si="1"/>
        <v>Feb 2026</v>
      </c>
      <c r="O41" s="121" t="s">
        <v>154</v>
      </c>
      <c r="P41">
        <v>30</v>
      </c>
      <c r="Q41" s="3">
        <v>40</v>
      </c>
      <c r="R41">
        <v>20</v>
      </c>
      <c r="S41">
        <v>10</v>
      </c>
      <c r="T41">
        <v>20</v>
      </c>
      <c r="U41">
        <v>10</v>
      </c>
      <c r="V41">
        <v>30</v>
      </c>
      <c r="W41" s="20">
        <f t="shared" si="0"/>
        <v>4726.5625</v>
      </c>
      <c r="X41" s="20">
        <f t="shared" si="3"/>
        <v>756250</v>
      </c>
      <c r="AI41" s="1" t="s">
        <v>138</v>
      </c>
      <c r="AJ41" s="1" cm="1">
        <f t="array" ref="AJ41">IFERROR(_xlfn.IFS(AJ40&lt;=10,17000,AJ40&lt;=30,15000,AJ40&lt;=50,14000,AJ40&lt;=100,13750),"")</f>
        <v>17000</v>
      </c>
      <c r="AK41" s="1" cm="1">
        <f t="array" ref="AK41">IFERROR(_xlfn.IFS(AK40&lt;=10,18000,AK40&lt;=30,17500,AK40&lt;=50,17000,AK40&lt;=100,16750),"")</f>
        <v>18000</v>
      </c>
      <c r="AL41" s="1" cm="1">
        <f t="array" ref="AL41">IFERROR(_xlfn.IFS(AL40&lt;=10,19500,AL40&lt;=30,19200,AL40&lt;=50,19000,AL40&lt;=100,18500),"")</f>
        <v>19000</v>
      </c>
      <c r="AM41" s="1" cm="1">
        <f t="array" ref="AM41">IFERROR(_xlfn.IFS(AM40&lt;=10,21000,AM40&lt;=30,20700,AM40&lt;=50,19800,AM40&lt;=100,18800),"")</f>
        <v>19800</v>
      </c>
      <c r="AN41" s="1" cm="1">
        <f t="array" ref="AN41">IFERROR(_xlfn.IFS(AN40&lt;=10,25000,AN40&lt;=30,23000,AN40&lt;=50,21000,AN40&lt;=100,20000),"")</f>
        <v>25000</v>
      </c>
      <c r="AO41" s="1" cm="1">
        <f t="array" ref="AO41">IFERROR(_xlfn.IFS(AO40&lt;=10,17000,AO40&lt;=30,15000,AO40&lt;=50,14000,AO40&lt;=100,13750),"")</f>
        <v>14000</v>
      </c>
      <c r="AP41" s="1" cm="1">
        <f t="array" ref="AP41">IFERROR(_xlfn.IFS(AP40&lt;=10,21000,AP40&lt;=30,20700,AP40&lt;=50,19800,AP40&lt;=100,18800),"")</f>
        <v>21000</v>
      </c>
      <c r="AQ41" s="1">
        <f>AVERAGE(AJ41:AP41)</f>
        <v>19114.285714285714</v>
      </c>
      <c r="AR41" s="66"/>
      <c r="AS41" s="66"/>
      <c r="AT41" s="66"/>
      <c r="AU41" s="66"/>
    </row>
    <row r="42" spans="1:48">
      <c r="A42" s="130">
        <v>46089</v>
      </c>
      <c r="B42" s="65" t="str">
        <f t="shared" si="5"/>
        <v>Mar 2026</v>
      </c>
      <c r="C42" t="str">
        <f>C164</f>
        <v>PT KAIN HATI (QOLBI)</v>
      </c>
      <c r="D42" s="20">
        <v>30</v>
      </c>
      <c r="E42" s="20">
        <v>30</v>
      </c>
      <c r="F42" s="20">
        <v>30</v>
      </c>
      <c r="G42" s="20">
        <v>30</v>
      </c>
      <c r="H42" s="20">
        <v>30</v>
      </c>
      <c r="I42" s="20">
        <v>30</v>
      </c>
      <c r="J42" s="20">
        <v>30</v>
      </c>
      <c r="K42" s="20" cm="1">
        <f t="array" ref="K42">SUM($L$40:$L$44/SUM($D$40:$J$44))</f>
        <v>4452.3809523809523</v>
      </c>
      <c r="L42" s="20">
        <f>SUMPRODUCT(PERSEDIAAN[[#This Row],[KATUN]:[SUTRA]],$D$165:$J$165)</f>
        <v>1380000</v>
      </c>
      <c r="M42" s="125">
        <v>46071</v>
      </c>
      <c r="N42" s="121" t="str">
        <f t="shared" si="1"/>
        <v>Feb 2026</v>
      </c>
      <c r="O42" s="121" t="s">
        <v>155</v>
      </c>
      <c r="P42">
        <v>30</v>
      </c>
      <c r="Q42" s="3">
        <v>30</v>
      </c>
      <c r="R42">
        <v>30</v>
      </c>
      <c r="S42">
        <v>10</v>
      </c>
      <c r="T42">
        <v>30</v>
      </c>
      <c r="U42">
        <v>10</v>
      </c>
      <c r="V42">
        <v>30</v>
      </c>
      <c r="W42" s="20">
        <f t="shared" si="0"/>
        <v>4726.5625</v>
      </c>
      <c r="X42" s="20">
        <f t="shared" si="3"/>
        <v>803515.625</v>
      </c>
      <c r="AI42" t="s">
        <v>139</v>
      </c>
      <c r="AJ42" s="1">
        <f>IFERROR(AJ40*AJ41,"")</f>
        <v>0</v>
      </c>
      <c r="AK42" s="1">
        <f t="shared" ref="AK42" si="67">IFERROR(AK40*AK41,"")</f>
        <v>0</v>
      </c>
      <c r="AL42" s="1">
        <f t="shared" ref="AL42" si="68">IFERROR(AL40*AL41,"")</f>
        <v>950000</v>
      </c>
      <c r="AM42" s="1">
        <f t="shared" ref="AM42" si="69">IFERROR(AM40*AM41,"")</f>
        <v>990000</v>
      </c>
      <c r="AN42" s="1">
        <f t="shared" ref="AN42" si="70">IFERROR(AN40*AN41,"")</f>
        <v>0</v>
      </c>
      <c r="AO42" s="1">
        <f t="shared" ref="AO42" si="71">IFERROR(AO40*AO41,"")</f>
        <v>700000</v>
      </c>
      <c r="AP42" s="1">
        <f t="shared" ref="AP42" si="72">IFERROR(AP40*AP41,"")</f>
        <v>0</v>
      </c>
      <c r="AQ42" s="3">
        <f>SUM(Penjualan[[#This Row],[KATUN]:[SUTRA]])</f>
        <v>2640000</v>
      </c>
      <c r="AR42" s="66">
        <f>AQ42*11%</f>
        <v>290400</v>
      </c>
      <c r="AS42" s="66">
        <f>Penjualan[[#This Row],[JUMLAH]]+Penjualan[[#This Row],[Pajak 11%]]</f>
        <v>2930400</v>
      </c>
      <c r="AT42" s="66">
        <v>20400</v>
      </c>
      <c r="AU42" s="66">
        <f>Penjualan[[#This Row],[Jumlah + Tax]]-Penjualan[[#This Row],[Diskon]]</f>
        <v>2910000</v>
      </c>
    </row>
    <row r="43" spans="1:48">
      <c r="A43" s="130">
        <v>46089</v>
      </c>
      <c r="B43" s="65" t="str">
        <f t="shared" si="5"/>
        <v>Mar 2026</v>
      </c>
      <c r="C43" t="str">
        <f>C176</f>
        <v>AHSAN JAYA BERKARYA</v>
      </c>
      <c r="D43" s="1">
        <v>20</v>
      </c>
      <c r="E43" s="1">
        <v>20</v>
      </c>
      <c r="F43" s="1">
        <v>20</v>
      </c>
      <c r="G43" s="1">
        <v>20</v>
      </c>
      <c r="H43" s="1">
        <v>20</v>
      </c>
      <c r="I43" s="1">
        <v>20</v>
      </c>
      <c r="J43" s="1">
        <v>20</v>
      </c>
      <c r="K43" s="20" cm="1">
        <f t="array" ref="K43">SUM($L$40:$L$44/SUM($D$40:$J$44))</f>
        <v>4452.3809523809523</v>
      </c>
      <c r="L43" s="20">
        <f>SUMPRODUCT(PERSEDIAAN[[#This Row],[KATUN]:[SUTRA]],$D$177:$J$177)</f>
        <v>630000</v>
      </c>
      <c r="M43" s="125">
        <v>46086</v>
      </c>
      <c r="N43" s="121" t="str">
        <f t="shared" si="1"/>
        <v>Mar 2026</v>
      </c>
      <c r="O43" s="121" t="s">
        <v>136</v>
      </c>
      <c r="P43">
        <v>16</v>
      </c>
      <c r="Q43" s="3"/>
      <c r="R43">
        <v>18</v>
      </c>
      <c r="S43">
        <v>20</v>
      </c>
      <c r="T43">
        <v>18</v>
      </c>
      <c r="U43">
        <v>30</v>
      </c>
      <c r="V43">
        <v>10</v>
      </c>
      <c r="W43" s="20">
        <f t="shared" si="0"/>
        <v>4452.3809523809523</v>
      </c>
      <c r="X43" s="20">
        <f t="shared" si="3"/>
        <v>498666.66666666669</v>
      </c>
      <c r="AI43" s="65" t="str">
        <f>"Jumlah Beli"&amp;" "&amp;O19</f>
        <v>Jumlah Beli Ghost E</v>
      </c>
      <c r="AJ43" s="42">
        <v>15</v>
      </c>
      <c r="AK43" s="42">
        <v>0</v>
      </c>
      <c r="AL43" s="42">
        <v>0</v>
      </c>
      <c r="AM43" s="42">
        <v>0</v>
      </c>
      <c r="AN43" s="42">
        <v>0</v>
      </c>
      <c r="AO43" s="42">
        <v>15</v>
      </c>
      <c r="AP43" s="42">
        <v>15</v>
      </c>
      <c r="AQ43" s="1">
        <f>SUM(AJ43:AP43)</f>
        <v>45</v>
      </c>
      <c r="AR43" s="66"/>
      <c r="AS43" s="66"/>
      <c r="AT43" s="66"/>
      <c r="AU43" s="66"/>
    </row>
    <row r="44" spans="1:48">
      <c r="A44" s="130">
        <v>46089</v>
      </c>
      <c r="B44" s="65" t="str">
        <f t="shared" si="5"/>
        <v>Mar 2026</v>
      </c>
      <c r="C44" t="str">
        <f>C166</f>
        <v>TOKO FADH (HUSNA)</v>
      </c>
      <c r="D44" s="1">
        <v>50</v>
      </c>
      <c r="E44">
        <v>40</v>
      </c>
      <c r="F44">
        <v>50</v>
      </c>
      <c r="G44">
        <v>60</v>
      </c>
      <c r="H44">
        <v>30</v>
      </c>
      <c r="I44">
        <v>60</v>
      </c>
      <c r="J44">
        <v>20</v>
      </c>
      <c r="K44" s="20" cm="1">
        <f t="array" ref="K44">SUM($L$40:$L$44/SUM($D$40:$J$44))</f>
        <v>4452.3809523809523</v>
      </c>
      <c r="L44" s="20">
        <f>SUMPRODUCT(PERSEDIAAN[[#This Row],[KATUN]:[SUTRA]],$D$166:$J$166)</f>
        <v>1280000</v>
      </c>
      <c r="M44" s="125">
        <v>46086</v>
      </c>
      <c r="N44" s="121" t="str">
        <f t="shared" si="1"/>
        <v>Mar 2026</v>
      </c>
      <c r="O44" s="121" t="s">
        <v>137</v>
      </c>
      <c r="P44">
        <v>20</v>
      </c>
      <c r="R44">
        <v>20</v>
      </c>
      <c r="S44">
        <v>30</v>
      </c>
      <c r="T44">
        <v>20</v>
      </c>
      <c r="U44">
        <v>20</v>
      </c>
      <c r="V44">
        <v>20</v>
      </c>
      <c r="W44" s="20">
        <f t="shared" si="0"/>
        <v>4452.3809523809523</v>
      </c>
      <c r="X44" s="20">
        <f t="shared" si="3"/>
        <v>578809.52380952379</v>
      </c>
      <c r="AI44" s="1" t="s">
        <v>138</v>
      </c>
      <c r="AJ44" s="1" cm="1">
        <f t="array" ref="AJ44">IFERROR(_xlfn.IFS(AJ43&lt;=10,17000,AJ43&lt;=30,15000,AJ43&lt;=50,14000,AJ43&lt;=100,13750),"")</f>
        <v>15000</v>
      </c>
      <c r="AK44" s="1" cm="1">
        <f t="array" ref="AK44">IFERROR(_xlfn.IFS(AK43&lt;=10,18000,AK43&lt;=30,17500,AK43&lt;=50,17000,AK43&lt;=100,16750),"")</f>
        <v>18000</v>
      </c>
      <c r="AL44" s="1" cm="1">
        <f t="array" ref="AL44">IFERROR(_xlfn.IFS(AL43&lt;=10,19500,AL43&lt;=30,19200,AL43&lt;=50,19000,AL43&lt;=100,18500),"")</f>
        <v>19500</v>
      </c>
      <c r="AM44" s="1" cm="1">
        <f t="array" ref="AM44">IFERROR(_xlfn.IFS(AM43&lt;=10,21000,AM43&lt;=30,20700,AM43&lt;=50,19800,AM43&lt;=100,18800),"")</f>
        <v>21000</v>
      </c>
      <c r="AN44" s="1" cm="1">
        <f t="array" ref="AN44">IFERROR(_xlfn.IFS(AN43&lt;=10,25000,AN43&lt;=30,23000,AN43&lt;=50,21000,AN43&lt;=100,20000),"")</f>
        <v>25000</v>
      </c>
      <c r="AO44" s="1" cm="1">
        <f t="array" ref="AO44">IFERROR(_xlfn.IFS(AO43&lt;=10,17000,AO43&lt;=30,15000,AO43&lt;=50,14000,AO43&lt;=100,13750),"")</f>
        <v>15000</v>
      </c>
      <c r="AP44" s="1" cm="1">
        <f t="array" ref="AP44">IFERROR(_xlfn.IFS(AP43&lt;=10,21000,AP43&lt;=30,20700,AP43&lt;=50,19800,AP43&lt;=100,18800),"")</f>
        <v>20700</v>
      </c>
      <c r="AQ44" s="1">
        <f>AVERAGE(AJ44:AP44)</f>
        <v>19171.428571428572</v>
      </c>
      <c r="AR44" s="66"/>
      <c r="AS44" s="66"/>
      <c r="AT44" s="66"/>
      <c r="AU44" s="66"/>
    </row>
    <row r="45" spans="1:48">
      <c r="A45" s="130">
        <v>46120</v>
      </c>
      <c r="B45" s="65" t="str">
        <f t="shared" si="5"/>
        <v>Apr 2026</v>
      </c>
      <c r="C45" t="str">
        <f>C171</f>
        <v>TRUE TRHEAD(SAMUEL)</v>
      </c>
      <c r="D45" s="1">
        <v>40</v>
      </c>
      <c r="E45" s="1">
        <v>40</v>
      </c>
      <c r="F45" s="1">
        <v>40</v>
      </c>
      <c r="G45" s="1">
        <v>40</v>
      </c>
      <c r="H45" s="1">
        <v>40</v>
      </c>
      <c r="I45" s="1">
        <v>40</v>
      </c>
      <c r="J45" s="1">
        <v>40</v>
      </c>
      <c r="K45" s="20" cm="1">
        <f t="array" ref="K45">SUM($L$45:$L$49/SUM($D$45:$J$49))</f>
        <v>5112.7819548872176</v>
      </c>
      <c r="L45" s="20">
        <f>SUMPRODUCT(PERSEDIAAN[[#This Row],[KATUN]:[SUTRA]],$D$171:$J$171)</f>
        <v>1760000</v>
      </c>
      <c r="M45" s="125">
        <v>46086</v>
      </c>
      <c r="N45" s="121" t="str">
        <f t="shared" si="1"/>
        <v>Mar 2026</v>
      </c>
      <c r="O45" s="121" t="s">
        <v>145</v>
      </c>
      <c r="P45">
        <v>30</v>
      </c>
      <c r="Q45" s="3">
        <v>40</v>
      </c>
      <c r="R45">
        <v>20</v>
      </c>
      <c r="S45">
        <v>40</v>
      </c>
      <c r="U45">
        <v>20</v>
      </c>
      <c r="W45" s="20">
        <f t="shared" si="0"/>
        <v>4452.3809523809523</v>
      </c>
      <c r="X45" s="20">
        <f t="shared" si="3"/>
        <v>667857.14285714284</v>
      </c>
      <c r="AI45" t="s">
        <v>139</v>
      </c>
      <c r="AJ45" s="1">
        <f>IFERROR(AJ43*AJ44,"")</f>
        <v>225000</v>
      </c>
      <c r="AK45" s="1">
        <f t="shared" ref="AK45" si="73">IFERROR(AK43*AK44,"")</f>
        <v>0</v>
      </c>
      <c r="AL45" s="1">
        <f t="shared" ref="AL45" si="74">IFERROR(AL43*AL44,"")</f>
        <v>0</v>
      </c>
      <c r="AM45" s="1">
        <f t="shared" ref="AM45" si="75">IFERROR(AM43*AM44,"")</f>
        <v>0</v>
      </c>
      <c r="AN45" s="1">
        <f t="shared" ref="AN45" si="76">IFERROR(AN43*AN44,"")</f>
        <v>0</v>
      </c>
      <c r="AO45" s="1">
        <f t="shared" ref="AO45" si="77">IFERROR(AO43*AO44,"")</f>
        <v>225000</v>
      </c>
      <c r="AP45" s="1">
        <f t="shared" ref="AP45" si="78">IFERROR(AP43*AP44,"")</f>
        <v>310500</v>
      </c>
      <c r="AQ45" s="3">
        <f>SUM(Penjualan[[#This Row],[KATUN]:[SUTRA]])</f>
        <v>760500</v>
      </c>
      <c r="AR45" s="66">
        <f>AQ45*11%</f>
        <v>83655</v>
      </c>
      <c r="AS45" s="66">
        <f>Penjualan[[#This Row],[JUMLAH]]+Penjualan[[#This Row],[Pajak 11%]]</f>
        <v>844155</v>
      </c>
      <c r="AT45" s="66">
        <v>14155</v>
      </c>
      <c r="AU45" s="66">
        <f>Penjualan[[#This Row],[Jumlah + Tax]]-Penjualan[[#This Row],[Diskon]]</f>
        <v>830000</v>
      </c>
    </row>
    <row r="46" spans="1:48">
      <c r="A46" s="130">
        <v>46120</v>
      </c>
      <c r="B46" s="65" t="str">
        <f t="shared" si="5"/>
        <v>Apr 2026</v>
      </c>
      <c r="C46" t="str">
        <f>C166</f>
        <v>TOKO FADH (HUSNA)</v>
      </c>
      <c r="D46" s="1">
        <v>40</v>
      </c>
      <c r="E46" s="1">
        <v>40</v>
      </c>
      <c r="F46" s="1">
        <v>40</v>
      </c>
      <c r="G46" s="1">
        <v>40</v>
      </c>
      <c r="H46" s="1">
        <v>40</v>
      </c>
      <c r="I46" s="1">
        <v>40</v>
      </c>
      <c r="J46" s="1">
        <v>40</v>
      </c>
      <c r="K46" s="20" cm="1">
        <f t="array" ref="K46">SUM($L$45:$L$49/SUM($D$45:$J$49))</f>
        <v>5112.7819548872176</v>
      </c>
      <c r="L46" s="20">
        <f>SUMPRODUCT(PERSEDIAAN[[#This Row],[KATUN]:[SUTRA]],$D$166:$J$166)</f>
        <v>1280000</v>
      </c>
      <c r="M46" s="125">
        <v>46086</v>
      </c>
      <c r="N46" s="121" t="str">
        <f t="shared" si="1"/>
        <v>Mar 2026</v>
      </c>
      <c r="O46" s="121" t="s">
        <v>152</v>
      </c>
      <c r="P46">
        <v>20</v>
      </c>
      <c r="Q46" s="3"/>
      <c r="R46">
        <v>20</v>
      </c>
      <c r="S46">
        <v>50</v>
      </c>
      <c r="T46">
        <v>10</v>
      </c>
      <c r="V46">
        <v>10</v>
      </c>
      <c r="W46" s="20">
        <f t="shared" si="0"/>
        <v>4452.3809523809523</v>
      </c>
      <c r="X46" s="20">
        <f t="shared" si="3"/>
        <v>489761.90476190473</v>
      </c>
      <c r="AH46" s="48">
        <v>45836</v>
      </c>
      <c r="AI46" s="65" t="str">
        <f>"Jumlah Beli"&amp;" "&amp;O20</f>
        <v>Jumlah Beli Ghost A</v>
      </c>
      <c r="AJ46" s="42">
        <v>10</v>
      </c>
      <c r="AK46" s="42">
        <v>10</v>
      </c>
      <c r="AL46" s="42">
        <v>10</v>
      </c>
      <c r="AM46" s="42">
        <v>10</v>
      </c>
      <c r="AN46" s="42">
        <v>0</v>
      </c>
      <c r="AO46" s="42">
        <v>5</v>
      </c>
      <c r="AP46" s="42">
        <v>0</v>
      </c>
      <c r="AQ46" s="1">
        <f>SUM(AJ46:AP46)</f>
        <v>45</v>
      </c>
      <c r="AR46" s="66"/>
      <c r="AS46" s="66"/>
      <c r="AT46" s="66"/>
      <c r="AU46" s="66"/>
    </row>
    <row r="47" spans="1:48">
      <c r="A47" s="130">
        <v>46120</v>
      </c>
      <c r="B47" s="65" t="str">
        <f t="shared" si="5"/>
        <v>Apr 2026</v>
      </c>
      <c r="C47" t="str">
        <f>C164</f>
        <v>PT KAIN HATI (QOLBI)</v>
      </c>
      <c r="D47">
        <v>30</v>
      </c>
      <c r="E47">
        <v>30</v>
      </c>
      <c r="F47">
        <v>30</v>
      </c>
      <c r="G47">
        <v>30</v>
      </c>
      <c r="H47">
        <v>30</v>
      </c>
      <c r="I47">
        <v>30</v>
      </c>
      <c r="J47">
        <v>30</v>
      </c>
      <c r="K47" s="20" cm="1">
        <f t="array" ref="K47">SUM($L$45:$L$49/SUM($D$45:$J$49))</f>
        <v>5112.7819548872176</v>
      </c>
      <c r="L47" s="20">
        <f>SUMPRODUCT(PERSEDIAAN[[#This Row],[KATUN]:[SUTRA]],$D$165:$J$165)</f>
        <v>1380000</v>
      </c>
      <c r="M47" s="125">
        <v>46086</v>
      </c>
      <c r="N47" s="121" t="str">
        <f t="shared" si="1"/>
        <v>Mar 2026</v>
      </c>
      <c r="O47" s="121" t="s">
        <v>153</v>
      </c>
      <c r="P47">
        <v>20</v>
      </c>
      <c r="Q47" s="3">
        <v>40</v>
      </c>
      <c r="S47">
        <v>18</v>
      </c>
      <c r="U47">
        <v>34</v>
      </c>
      <c r="W47" s="20">
        <f t="shared" si="0"/>
        <v>4452.3809523809523</v>
      </c>
      <c r="X47" s="20">
        <f t="shared" si="3"/>
        <v>498666.66666666669</v>
      </c>
      <c r="AI47" s="1" t="s">
        <v>138</v>
      </c>
      <c r="AJ47" s="1" cm="1">
        <f t="array" ref="AJ47">IFERROR(_xlfn.IFS(AJ46&lt;=10,17000,AJ46&lt;=30,15000,AJ46&lt;=50,14000,AJ46&lt;=100,13750),"")</f>
        <v>17000</v>
      </c>
      <c r="AK47" s="1" cm="1">
        <f t="array" ref="AK47">IFERROR(_xlfn.IFS(AK46&lt;=10,18000,AK46&lt;=30,17500,AK46&lt;=50,17000,AK46&lt;=100,16750),"")</f>
        <v>18000</v>
      </c>
      <c r="AL47" s="1" cm="1">
        <f t="array" ref="AL47">IFERROR(_xlfn.IFS(AL46&lt;=10,19500,AL46&lt;=30,19200,AL46&lt;=50,19000,AL46&lt;=100,18500),"")</f>
        <v>19500</v>
      </c>
      <c r="AM47" s="1" cm="1">
        <f t="array" ref="AM47">IFERROR(_xlfn.IFS(AM46&lt;=10,21000,AM46&lt;=30,20700,AM46&lt;=50,19800,AM46&lt;=100,18800),"")</f>
        <v>21000</v>
      </c>
      <c r="AN47" s="1" cm="1">
        <f t="array" ref="AN47">IFERROR(_xlfn.IFS(AN46&lt;=10,25000,AN46&lt;=30,23000,AN46&lt;=50,21000,AN46&lt;=100,20000),"")</f>
        <v>25000</v>
      </c>
      <c r="AO47" s="1" cm="1">
        <f t="array" ref="AO47">IFERROR(_xlfn.IFS(AO46&lt;=10,17000,AO46&lt;=30,15000,AO46&lt;=50,14000,AO46&lt;=100,13750),"")</f>
        <v>17000</v>
      </c>
      <c r="AP47" s="1" cm="1">
        <f t="array" ref="AP47">IFERROR(_xlfn.IFS(AP46&lt;=10,21000,AP46&lt;=30,20700,AP46&lt;=50,19800,AP46&lt;=100,18800),"")</f>
        <v>21000</v>
      </c>
      <c r="AQ47" s="1">
        <f>AVERAGE(AJ47:AP47)</f>
        <v>19785.714285714286</v>
      </c>
      <c r="AR47" s="66"/>
      <c r="AS47" s="66"/>
      <c r="AT47" s="66"/>
      <c r="AU47" s="66"/>
    </row>
    <row r="48" spans="1:48">
      <c r="A48" s="130">
        <v>46120</v>
      </c>
      <c r="B48" s="65" t="str">
        <f t="shared" si="5"/>
        <v>Apr 2026</v>
      </c>
      <c r="C48" t="str">
        <f>C168</f>
        <v>BY LAV (ANDILA)</v>
      </c>
      <c r="D48" s="1">
        <v>40</v>
      </c>
      <c r="E48" s="1">
        <v>40</v>
      </c>
      <c r="F48" s="1">
        <v>40</v>
      </c>
      <c r="G48" s="1">
        <v>40</v>
      </c>
      <c r="H48" s="1">
        <v>40</v>
      </c>
      <c r="I48" s="1">
        <v>40</v>
      </c>
      <c r="J48" s="1">
        <v>40</v>
      </c>
      <c r="K48" s="20" cm="1">
        <f t="array" ref="K48">SUM($L$45:$L$49/SUM($D$45:$J$49))</f>
        <v>5112.7819548872176</v>
      </c>
      <c r="L48" s="20">
        <f>SUMPRODUCT(PERSEDIAAN[[#This Row],[KATUN]:[SUTRA]],$D$168:$J$168)</f>
        <v>1380000</v>
      </c>
      <c r="M48" s="125">
        <v>46086</v>
      </c>
      <c r="N48" s="121" t="str">
        <f t="shared" si="1"/>
        <v>Mar 2026</v>
      </c>
      <c r="O48" s="121" t="s">
        <v>154</v>
      </c>
      <c r="P48">
        <v>30</v>
      </c>
      <c r="Q48" s="3"/>
      <c r="R48">
        <v>20</v>
      </c>
      <c r="S48">
        <v>50</v>
      </c>
      <c r="T48">
        <v>20</v>
      </c>
      <c r="V48">
        <v>20</v>
      </c>
      <c r="W48" s="20">
        <f t="shared" si="0"/>
        <v>4452.3809523809523</v>
      </c>
      <c r="X48" s="20">
        <f t="shared" si="3"/>
        <v>623333.33333333337</v>
      </c>
      <c r="AI48" t="s">
        <v>139</v>
      </c>
      <c r="AJ48" s="1">
        <f>IFERROR(AJ46*AJ47,"")</f>
        <v>170000</v>
      </c>
      <c r="AK48" s="1">
        <f t="shared" ref="AK48" si="79">IFERROR(AK46*AK47,"")</f>
        <v>180000</v>
      </c>
      <c r="AL48" s="1">
        <f t="shared" ref="AL48" si="80">IFERROR(AL46*AL47,"")</f>
        <v>195000</v>
      </c>
      <c r="AM48" s="1">
        <f t="shared" ref="AM48" si="81">IFERROR(AM46*AM47,"")</f>
        <v>210000</v>
      </c>
      <c r="AN48" s="1">
        <f t="shared" ref="AN48" si="82">IFERROR(AN46*AN47,"")</f>
        <v>0</v>
      </c>
      <c r="AO48" s="1">
        <f t="shared" ref="AO48" si="83">IFERROR(AO46*AO47,"")</f>
        <v>85000</v>
      </c>
      <c r="AP48" s="1">
        <f t="shared" ref="AP48" si="84">IFERROR(AP46*AP47,"")</f>
        <v>0</v>
      </c>
      <c r="AQ48" s="3">
        <f>SUM(Penjualan[[#This Row],[KATUN]:[SUTRA]])</f>
        <v>840000</v>
      </c>
      <c r="AR48" s="66">
        <f>AQ48*11%</f>
        <v>92400</v>
      </c>
      <c r="AS48" s="66">
        <f>Penjualan[[#This Row],[JUMLAH]]+Penjualan[[#This Row],[Pajak 11%]]</f>
        <v>932400</v>
      </c>
      <c r="AT48" s="66">
        <v>12400</v>
      </c>
      <c r="AU48" s="66">
        <f>Penjualan[[#This Row],[Jumlah + Tax]]-Penjualan[[#This Row],[Diskon]]</f>
        <v>920000</v>
      </c>
    </row>
    <row r="49" spans="1:47">
      <c r="A49" s="130">
        <v>46120</v>
      </c>
      <c r="B49" s="65" t="str">
        <f t="shared" si="5"/>
        <v>Apr 2026</v>
      </c>
      <c r="C49" t="str">
        <f>C173</f>
        <v>SYAFIQ</v>
      </c>
      <c r="D49" s="1">
        <v>40</v>
      </c>
      <c r="E49" s="1">
        <v>40</v>
      </c>
      <c r="F49" s="1">
        <v>40</v>
      </c>
      <c r="G49" s="1">
        <v>40</v>
      </c>
      <c r="H49" s="1">
        <v>40</v>
      </c>
      <c r="I49" s="1">
        <v>40</v>
      </c>
      <c r="J49" s="1">
        <v>40</v>
      </c>
      <c r="K49" s="20" cm="1">
        <f t="array" ref="K49">SUM($L$45:$L$49/SUM($D$45:$J$49))</f>
        <v>5112.7819548872176</v>
      </c>
      <c r="L49" s="20">
        <f>SUMPRODUCT(PERSEDIAAN[[#This Row],[KATUN]:[SUTRA]],$D$173:$J$173)</f>
        <v>1000000</v>
      </c>
      <c r="M49" s="125">
        <v>46086</v>
      </c>
      <c r="N49" s="121" t="str">
        <f t="shared" si="1"/>
        <v>Mar 2026</v>
      </c>
      <c r="O49" s="121" t="s">
        <v>155</v>
      </c>
      <c r="Q49" s="3">
        <v>16</v>
      </c>
      <c r="R49">
        <v>30</v>
      </c>
      <c r="T49">
        <v>20</v>
      </c>
      <c r="V49">
        <v>20</v>
      </c>
      <c r="W49" s="20">
        <f t="shared" si="0"/>
        <v>4452.3809523809523</v>
      </c>
      <c r="X49" s="20">
        <f t="shared" si="3"/>
        <v>382904.76190476189</v>
      </c>
      <c r="AI49" s="65" t="str">
        <f>"Jumlah Beli"&amp;" "&amp;O21</f>
        <v>Jumlah Beli Ghost D</v>
      </c>
      <c r="AJ49" s="41">
        <v>25</v>
      </c>
      <c r="AK49" s="41">
        <v>5</v>
      </c>
      <c r="AL49" s="41">
        <v>12</v>
      </c>
      <c r="AM49" s="41">
        <v>50</v>
      </c>
      <c r="AN49" s="41">
        <v>12</v>
      </c>
      <c r="AO49" s="41">
        <v>10</v>
      </c>
      <c r="AP49" s="41">
        <v>10</v>
      </c>
      <c r="AQ49" s="1">
        <f>SUM(AJ49:AP49)</f>
        <v>124</v>
      </c>
      <c r="AR49" s="66"/>
      <c r="AS49" s="66"/>
      <c r="AT49" s="66"/>
      <c r="AU49" s="66"/>
    </row>
    <row r="50" spans="1:47">
      <c r="D50" s="3"/>
      <c r="E50" s="3"/>
      <c r="F50" s="3"/>
      <c r="G50" s="3"/>
      <c r="H50" s="3"/>
      <c r="I50" s="3"/>
      <c r="J50" s="3"/>
      <c r="M50" s="125">
        <v>46117</v>
      </c>
      <c r="N50" s="121" t="str">
        <f t="shared" si="1"/>
        <v>Apr 2026</v>
      </c>
      <c r="O50" s="121" t="s">
        <v>136</v>
      </c>
      <c r="P50">
        <v>30</v>
      </c>
      <c r="Q50">
        <v>30</v>
      </c>
      <c r="S50">
        <v>20</v>
      </c>
      <c r="T50">
        <v>20</v>
      </c>
      <c r="U50">
        <v>20</v>
      </c>
      <c r="V50">
        <v>40</v>
      </c>
      <c r="W50" s="20">
        <f>_xlfn.XLOOKUP(N50,$B$8:$B$158,$K$8:$K$158)</f>
        <v>5112.7819548872176</v>
      </c>
      <c r="X50" s="20">
        <f t="shared" si="3"/>
        <v>818045.11278195481</v>
      </c>
      <c r="AI50" s="1" t="s">
        <v>138</v>
      </c>
      <c r="AJ50" s="1" cm="1">
        <f t="array" ref="AJ50">IFERROR(_xlfn.IFS(AJ49&lt;=10,17000,AJ49&lt;=30,15000,AJ49&lt;=50,14000,AJ49&lt;=100,13750),"")</f>
        <v>15000</v>
      </c>
      <c r="AK50" s="1" cm="1">
        <f t="array" ref="AK50">IFERROR(_xlfn.IFS(AK49&lt;=10,18000,AK49&lt;=30,17500,AK49&lt;=50,17000,AK49&lt;=100,16750),"")</f>
        <v>18000</v>
      </c>
      <c r="AL50" s="1" cm="1">
        <f t="array" ref="AL50">IFERROR(_xlfn.IFS(AL49&lt;=10,19500,AL49&lt;=30,19200,AL49&lt;=50,19000,AL49&lt;=100,18500),"")</f>
        <v>19200</v>
      </c>
      <c r="AM50" s="1" cm="1">
        <f t="array" ref="AM50">IFERROR(_xlfn.IFS(AM49&lt;=10,21000,AM49&lt;=30,20700,AM49&lt;=50,19800,AM49&lt;=100,18800),"")</f>
        <v>19800</v>
      </c>
      <c r="AN50" s="1" cm="1">
        <f t="array" ref="AN50">IFERROR(_xlfn.IFS(AN49&lt;=10,25000,AN49&lt;=30,23000,AN49&lt;=50,21000,AN49&lt;=100,20000),"")</f>
        <v>23000</v>
      </c>
      <c r="AO50" s="1" cm="1">
        <f t="array" ref="AO50">IFERROR(_xlfn.IFS(AO49&lt;=10,17000,AO49&lt;=30,15000,AO49&lt;=50,14000,AO49&lt;=100,13750),"")</f>
        <v>17000</v>
      </c>
      <c r="AP50" s="1" cm="1">
        <f t="array" ref="AP50">IFERROR(_xlfn.IFS(AP49&lt;=10,21000,AP49&lt;=30,20700,AP49&lt;=50,19800,AP49&lt;=100,18800),"")</f>
        <v>21000</v>
      </c>
      <c r="AQ50" s="1">
        <f>AVERAGE(AJ50:AP50)</f>
        <v>19000</v>
      </c>
      <c r="AR50" s="66"/>
      <c r="AS50" s="66"/>
      <c r="AT50" s="66"/>
      <c r="AU50" s="66"/>
    </row>
    <row r="51" spans="1:47">
      <c r="D51" s="3"/>
      <c r="M51" s="125">
        <v>46117</v>
      </c>
      <c r="N51" s="121" t="str">
        <f t="shared" si="1"/>
        <v>Apr 2026</v>
      </c>
      <c r="O51" s="121" t="s">
        <v>137</v>
      </c>
      <c r="P51">
        <v>20</v>
      </c>
      <c r="Q51" s="3">
        <v>20</v>
      </c>
      <c r="R51">
        <v>50</v>
      </c>
      <c r="S51">
        <v>10</v>
      </c>
      <c r="T51">
        <v>30</v>
      </c>
      <c r="U51">
        <v>12</v>
      </c>
      <c r="V51">
        <v>20</v>
      </c>
      <c r="W51" s="20">
        <f t="shared" si="0"/>
        <v>5112.7819548872176</v>
      </c>
      <c r="X51" s="20">
        <f t="shared" si="3"/>
        <v>828270.67669172923</v>
      </c>
      <c r="AI51" t="s">
        <v>139</v>
      </c>
      <c r="AJ51" s="1">
        <f>IFERROR(AJ49*AJ50,"")</f>
        <v>375000</v>
      </c>
      <c r="AK51" s="1">
        <f t="shared" ref="AK51" si="85">IFERROR(AK49*AK50,"")</f>
        <v>90000</v>
      </c>
      <c r="AL51" s="1">
        <f t="shared" ref="AL51" si="86">IFERROR(AL49*AL50,"")</f>
        <v>230400</v>
      </c>
      <c r="AM51" s="1">
        <f t="shared" ref="AM51" si="87">IFERROR(AM49*AM50,"")</f>
        <v>990000</v>
      </c>
      <c r="AN51" s="1">
        <f t="shared" ref="AN51" si="88">IFERROR(AN49*AN50,"")</f>
        <v>276000</v>
      </c>
      <c r="AO51" s="1">
        <f t="shared" ref="AO51" si="89">IFERROR(AO49*AO50,"")</f>
        <v>170000</v>
      </c>
      <c r="AP51" s="1">
        <f t="shared" ref="AP51" si="90">IFERROR(AP49*AP50,"")</f>
        <v>210000</v>
      </c>
      <c r="AQ51" s="3">
        <f>SUM(Penjualan[[#This Row],[KATUN]:[SUTRA]])</f>
        <v>2341400</v>
      </c>
      <c r="AR51" s="66">
        <f>AQ51*11%</f>
        <v>257554</v>
      </c>
      <c r="AS51" s="66">
        <f>Penjualan[[#This Row],[JUMLAH]]+Penjualan[[#This Row],[Pajak 11%]]</f>
        <v>2598954</v>
      </c>
      <c r="AT51" s="66">
        <v>18954</v>
      </c>
      <c r="AU51" s="66">
        <f>Penjualan[[#This Row],[Jumlah + Tax]]-Penjualan[[#This Row],[Diskon]]</f>
        <v>2580000</v>
      </c>
    </row>
    <row r="52" spans="1:47">
      <c r="M52" s="125">
        <v>46117</v>
      </c>
      <c r="N52" s="121" t="str">
        <f t="shared" si="1"/>
        <v>Apr 2026</v>
      </c>
      <c r="O52" s="121" t="s">
        <v>145</v>
      </c>
      <c r="P52">
        <v>40</v>
      </c>
      <c r="Q52" s="3">
        <v>20</v>
      </c>
      <c r="S52">
        <v>20</v>
      </c>
      <c r="T52">
        <v>40</v>
      </c>
      <c r="U52">
        <v>40</v>
      </c>
      <c r="W52" s="20">
        <f t="shared" si="0"/>
        <v>5112.7819548872176</v>
      </c>
      <c r="X52" s="20">
        <f t="shared" si="3"/>
        <v>818045.11278195481</v>
      </c>
      <c r="AI52" s="65" t="str">
        <f>"Jumlah Beli"&amp;" "&amp;O22</f>
        <v>Jumlah Beli Ghost C</v>
      </c>
      <c r="AJ52" s="42">
        <v>15</v>
      </c>
      <c r="AK52" s="42">
        <v>10</v>
      </c>
      <c r="AL52" s="42">
        <v>10</v>
      </c>
      <c r="AM52" s="42">
        <v>15</v>
      </c>
      <c r="AN52" s="42">
        <v>10</v>
      </c>
      <c r="AO52" s="42">
        <v>0</v>
      </c>
      <c r="AP52" s="42">
        <v>0</v>
      </c>
      <c r="AQ52" s="1">
        <f>SUM(AJ52:AP52)</f>
        <v>60</v>
      </c>
      <c r="AR52" s="66"/>
      <c r="AS52" s="66"/>
      <c r="AT52" s="66"/>
      <c r="AU52" s="66"/>
    </row>
    <row r="53" spans="1:47">
      <c r="M53" s="125">
        <v>46117</v>
      </c>
      <c r="N53" s="121" t="str">
        <f t="shared" si="1"/>
        <v>Apr 2026</v>
      </c>
      <c r="O53" s="121" t="s">
        <v>152</v>
      </c>
      <c r="P53">
        <v>30</v>
      </c>
      <c r="Q53" s="3">
        <v>20</v>
      </c>
      <c r="R53">
        <v>52</v>
      </c>
      <c r="S53">
        <v>12</v>
      </c>
      <c r="T53">
        <v>20</v>
      </c>
      <c r="U53">
        <v>20</v>
      </c>
      <c r="V53">
        <v>20</v>
      </c>
      <c r="W53" s="20">
        <f t="shared" si="0"/>
        <v>5112.7819548872176</v>
      </c>
      <c r="X53" s="20">
        <f t="shared" si="3"/>
        <v>889624.06015037594</v>
      </c>
      <c r="AI53" s="1" t="s">
        <v>138</v>
      </c>
      <c r="AJ53" s="1" cm="1">
        <f t="array" ref="AJ53">IFERROR(_xlfn.IFS(AJ52&lt;=10,17000,AJ52&lt;=30,15000,AJ52&lt;=50,14000,AJ52&lt;=100,13750),"")</f>
        <v>15000</v>
      </c>
      <c r="AK53" s="1" cm="1">
        <f t="array" ref="AK53">IFERROR(_xlfn.IFS(AK52&lt;=10,18000,AK52&lt;=30,17500,AK52&lt;=50,17000,AK52&lt;=100,16750),"")</f>
        <v>18000</v>
      </c>
      <c r="AL53" s="1" cm="1">
        <f t="array" ref="AL53">IFERROR(_xlfn.IFS(AL52&lt;=10,19500,AL52&lt;=30,19200,AL52&lt;=50,19000,AL52&lt;=100,18500),"")</f>
        <v>19500</v>
      </c>
      <c r="AM53" s="1" cm="1">
        <f t="array" ref="AM53">IFERROR(_xlfn.IFS(AM52&lt;=10,21000,AM52&lt;=30,20700,AM52&lt;=50,19800,AM52&lt;=100,18800),"")</f>
        <v>20700</v>
      </c>
      <c r="AN53" s="1" cm="1">
        <f t="array" ref="AN53">IFERROR(_xlfn.IFS(AN52&lt;=10,25000,AN52&lt;=30,23000,AN52&lt;=50,21000,AN52&lt;=100,20000),"")</f>
        <v>25000</v>
      </c>
      <c r="AO53" s="1" cm="1">
        <f t="array" ref="AO53">IFERROR(_xlfn.IFS(AO52&lt;=10,17000,AO52&lt;=30,15000,AO52&lt;=50,14000,AO52&lt;=100,13750),"")</f>
        <v>17000</v>
      </c>
      <c r="AP53" s="1" cm="1">
        <f t="array" ref="AP53">IFERROR(_xlfn.IFS(AP52&lt;=10,21000,AP52&lt;=30,20700,AP52&lt;=50,19800,AP52&lt;=100,18800),"")</f>
        <v>21000</v>
      </c>
      <c r="AQ53" s="1">
        <f>AVERAGE(AJ53:AP53)</f>
        <v>19457.142857142859</v>
      </c>
      <c r="AR53" s="66"/>
      <c r="AS53" s="66"/>
      <c r="AT53" s="66"/>
      <c r="AU53" s="66"/>
    </row>
    <row r="54" spans="1:47">
      <c r="M54" s="125">
        <v>46117</v>
      </c>
      <c r="N54" s="121" t="str">
        <f t="shared" si="1"/>
        <v>Apr 2026</v>
      </c>
      <c r="O54" s="121" t="s">
        <v>153</v>
      </c>
      <c r="P54">
        <v>20</v>
      </c>
      <c r="Q54" s="3">
        <v>10</v>
      </c>
      <c r="S54">
        <v>40</v>
      </c>
      <c r="T54">
        <v>30</v>
      </c>
      <c r="V54">
        <v>12</v>
      </c>
      <c r="W54" s="20">
        <f t="shared" si="0"/>
        <v>5112.7819548872176</v>
      </c>
      <c r="X54" s="20">
        <f t="shared" si="3"/>
        <v>572631.57894736831</v>
      </c>
      <c r="AI54" t="s">
        <v>139</v>
      </c>
      <c r="AJ54" s="1">
        <f>IFERROR(AJ52*AJ53,"")</f>
        <v>225000</v>
      </c>
      <c r="AK54" s="1">
        <f t="shared" ref="AK54" si="91">IFERROR(AK52*AK53,"")</f>
        <v>180000</v>
      </c>
      <c r="AL54" s="1">
        <f t="shared" ref="AL54" si="92">IFERROR(AL52*AL53,"")</f>
        <v>195000</v>
      </c>
      <c r="AM54" s="1">
        <f t="shared" ref="AM54" si="93">IFERROR(AM52*AM53,"")</f>
        <v>310500</v>
      </c>
      <c r="AN54" s="1">
        <f t="shared" ref="AN54" si="94">IFERROR(AN52*AN53,"")</f>
        <v>250000</v>
      </c>
      <c r="AO54" s="1">
        <f t="shared" ref="AO54" si="95">IFERROR(AO52*AO53,"")</f>
        <v>0</v>
      </c>
      <c r="AP54" s="1">
        <f t="shared" ref="AP54" si="96">IFERROR(AP52*AP53,"")</f>
        <v>0</v>
      </c>
      <c r="AQ54" s="3">
        <f>SUM(Penjualan[[#This Row],[KATUN]:[SUTRA]])</f>
        <v>1160500</v>
      </c>
      <c r="AR54" s="66">
        <f>AQ54*11%</f>
        <v>127655</v>
      </c>
      <c r="AS54" s="66">
        <f>Penjualan[[#This Row],[JUMLAH]]+Penjualan[[#This Row],[Pajak 11%]]</f>
        <v>1288155</v>
      </c>
      <c r="AT54" s="66">
        <v>18155</v>
      </c>
      <c r="AU54" s="66">
        <f>Penjualan[[#This Row],[Jumlah + Tax]]-Penjualan[[#This Row],[Diskon]]</f>
        <v>1270000</v>
      </c>
    </row>
    <row r="55" spans="1:47">
      <c r="M55" s="125">
        <v>46117</v>
      </c>
      <c r="N55" s="121" t="str">
        <f t="shared" si="1"/>
        <v>Apr 2026</v>
      </c>
      <c r="O55" s="121" t="s">
        <v>154</v>
      </c>
      <c r="P55">
        <v>12</v>
      </c>
      <c r="Q55" s="3">
        <v>12</v>
      </c>
      <c r="R55">
        <v>50</v>
      </c>
      <c r="S55">
        <v>20</v>
      </c>
      <c r="U55">
        <v>40</v>
      </c>
      <c r="V55">
        <v>40</v>
      </c>
      <c r="W55" s="20">
        <f t="shared" si="0"/>
        <v>5112.7819548872176</v>
      </c>
      <c r="X55" s="20">
        <f t="shared" si="3"/>
        <v>889624.06015037594</v>
      </c>
      <c r="AH55" s="48">
        <v>46014</v>
      </c>
      <c r="AI55" s="65" t="str">
        <f>"Jumlah Beli"&amp;" "&amp;O23</f>
        <v>Jumlah Beli Ghost B</v>
      </c>
      <c r="AJ55" s="41">
        <v>15</v>
      </c>
      <c r="AK55" s="41">
        <v>15</v>
      </c>
      <c r="AL55" s="41">
        <v>15</v>
      </c>
      <c r="AM55" s="41">
        <v>15</v>
      </c>
      <c r="AN55" s="41">
        <v>15</v>
      </c>
      <c r="AO55" s="41">
        <v>15</v>
      </c>
      <c r="AP55" s="41">
        <v>5</v>
      </c>
      <c r="AQ55" s="1">
        <f>SUM(AJ55:AP55)</f>
        <v>95</v>
      </c>
      <c r="AR55" s="66"/>
      <c r="AS55" s="66"/>
      <c r="AT55" s="66"/>
      <c r="AU55" s="66"/>
    </row>
    <row r="56" spans="1:47">
      <c r="M56" s="125">
        <v>46117</v>
      </c>
      <c r="N56" s="121" t="str">
        <f t="shared" si="1"/>
        <v>Apr 2026</v>
      </c>
      <c r="O56" s="121" t="s">
        <v>155</v>
      </c>
      <c r="Q56" s="3">
        <v>40</v>
      </c>
      <c r="S56">
        <v>30</v>
      </c>
      <c r="T56">
        <v>12</v>
      </c>
      <c r="U56">
        <v>20</v>
      </c>
      <c r="V56">
        <v>20</v>
      </c>
      <c r="W56" s="20">
        <f t="shared" si="0"/>
        <v>5112.7819548872176</v>
      </c>
      <c r="X56" s="20">
        <f t="shared" si="3"/>
        <v>623759.39849624049</v>
      </c>
      <c r="AI56" s="1" t="s">
        <v>138</v>
      </c>
      <c r="AJ56" s="1" cm="1">
        <f t="array" ref="AJ56">IFERROR(_xlfn.IFS(AJ55&lt;=10,17000,AJ55&lt;=30,15000,AJ55&lt;=50,14000,AJ55&lt;=100,13750),"")</f>
        <v>15000</v>
      </c>
      <c r="AK56" s="1" cm="1">
        <f t="array" ref="AK56">IFERROR(_xlfn.IFS(AK55&lt;=10,18000,AK55&lt;=30,17500,AK55&lt;=50,17000,AK55&lt;=100,16750),"")</f>
        <v>17500</v>
      </c>
      <c r="AL56" s="1" cm="1">
        <f t="array" ref="AL56">IFERROR(_xlfn.IFS(AL55&lt;=10,19500,AL55&lt;=30,19200,AL55&lt;=50,19000,AL55&lt;=100,18500),"")</f>
        <v>19200</v>
      </c>
      <c r="AM56" s="1" cm="1">
        <f t="array" ref="AM56">IFERROR(_xlfn.IFS(AM55&lt;=10,21000,AM55&lt;=30,20700,AM55&lt;=50,19800,AM55&lt;=100,18800),"")</f>
        <v>20700</v>
      </c>
      <c r="AN56" s="1" cm="1">
        <f t="array" ref="AN56">IFERROR(_xlfn.IFS(AN55&lt;=10,25000,AN55&lt;=30,23000,AN55&lt;=50,21000,AN55&lt;=100,20000),"")</f>
        <v>23000</v>
      </c>
      <c r="AO56" s="1" cm="1">
        <f t="array" ref="AO56">IFERROR(_xlfn.IFS(AO55&lt;=10,17000,AO55&lt;=30,15000,AO55&lt;=50,14000,AO55&lt;=100,13750),"")</f>
        <v>15000</v>
      </c>
      <c r="AP56" s="1" cm="1">
        <f t="array" ref="AP56">IFERROR(_xlfn.IFS(AP55&lt;=10,21000,AP55&lt;=30,20700,AP55&lt;=50,19800,AP55&lt;=100,18800),"")</f>
        <v>21000</v>
      </c>
      <c r="AQ56" s="1">
        <f>AVERAGE(AJ56:AP56)</f>
        <v>18771.428571428572</v>
      </c>
      <c r="AR56" s="66"/>
      <c r="AS56" s="66"/>
      <c r="AT56" s="66"/>
      <c r="AU56" s="66"/>
    </row>
    <row r="57" spans="1:47">
      <c r="M57" s="126"/>
      <c r="N57" s="121" t="str">
        <f t="shared" si="1"/>
        <v/>
      </c>
      <c r="O57" s="122"/>
      <c r="Q57" s="3"/>
      <c r="W57" s="124"/>
      <c r="X57" s="124"/>
      <c r="AI57" t="s">
        <v>139</v>
      </c>
      <c r="AJ57" s="1">
        <f>IFERROR(AJ55*AJ56,"")</f>
        <v>225000</v>
      </c>
      <c r="AK57" s="1">
        <f t="shared" ref="AK57" si="97">IFERROR(AK55*AK56,"")</f>
        <v>262500</v>
      </c>
      <c r="AL57" s="1">
        <f t="shared" ref="AL57" si="98">IFERROR(AL55*AL56,"")</f>
        <v>288000</v>
      </c>
      <c r="AM57" s="1">
        <f t="shared" ref="AM57" si="99">IFERROR(AM55*AM56,"")</f>
        <v>310500</v>
      </c>
      <c r="AN57" s="1">
        <f t="shared" ref="AN57" si="100">IFERROR(AN55*AN56,"")</f>
        <v>345000</v>
      </c>
      <c r="AO57" s="1">
        <f t="shared" ref="AO57" si="101">IFERROR(AO55*AO56,"")</f>
        <v>225000</v>
      </c>
      <c r="AP57" s="1">
        <f t="shared" ref="AP57" si="102">IFERROR(AP55*AP56,"")</f>
        <v>105000</v>
      </c>
      <c r="AQ57" s="3">
        <f>SUM(Penjualan[[#This Row],[KATUN]:[SUTRA]])</f>
        <v>1761000</v>
      </c>
      <c r="AR57" s="66">
        <f>AQ57*11%</f>
        <v>193710</v>
      </c>
      <c r="AS57" s="66">
        <f>Penjualan[[#This Row],[JUMLAH]]+Penjualan[[#This Row],[Pajak 11%]]</f>
        <v>1954710</v>
      </c>
      <c r="AT57" s="66">
        <v>24710</v>
      </c>
      <c r="AU57" s="66">
        <f>Penjualan[[#This Row],[Jumlah + Tax]]-Penjualan[[#This Row],[Diskon]]</f>
        <v>1930000</v>
      </c>
    </row>
    <row r="58" spans="1:47">
      <c r="M58" s="126"/>
      <c r="N58" s="121" t="str">
        <f t="shared" si="1"/>
        <v/>
      </c>
      <c r="O58" s="122"/>
      <c r="W58" s="124"/>
      <c r="X58" s="124"/>
      <c r="AI58" s="65" t="str">
        <f>"Jumlah Beli"&amp;" "&amp;O24</f>
        <v>Jumlah Beli Ghost G</v>
      </c>
      <c r="AJ58" s="42">
        <v>0</v>
      </c>
      <c r="AK58" s="42">
        <v>10</v>
      </c>
      <c r="AL58" s="42">
        <v>0</v>
      </c>
      <c r="AM58" s="42">
        <v>10</v>
      </c>
      <c r="AN58" s="42">
        <v>5</v>
      </c>
      <c r="AO58" s="42">
        <v>0</v>
      </c>
      <c r="AP58" s="42">
        <v>5</v>
      </c>
      <c r="AQ58" s="1">
        <f>SUM(AJ58:AP58)</f>
        <v>30</v>
      </c>
      <c r="AR58" s="66"/>
      <c r="AS58" s="66"/>
      <c r="AT58" s="66"/>
      <c r="AU58" s="66"/>
    </row>
    <row r="59" spans="1:47">
      <c r="M59" s="126"/>
      <c r="N59" s="121" t="str">
        <f t="shared" si="1"/>
        <v/>
      </c>
      <c r="O59" s="122"/>
      <c r="Q59" s="3"/>
      <c r="W59" s="124"/>
      <c r="X59" s="124"/>
      <c r="AI59" s="1" t="s">
        <v>138</v>
      </c>
      <c r="AJ59" s="1" cm="1">
        <f t="array" ref="AJ59">IFERROR(_xlfn.IFS(AJ58&lt;=10,17000,AJ58&lt;=30,15000,AJ58&lt;=50,14000,AJ58&lt;=100,13750),"")</f>
        <v>17000</v>
      </c>
      <c r="AK59" s="1" cm="1">
        <f t="array" ref="AK59">IFERROR(_xlfn.IFS(AK58&lt;=10,18000,AK58&lt;=30,17500,AK58&lt;=50,17000,AK58&lt;=100,16750),"")</f>
        <v>18000</v>
      </c>
      <c r="AL59" s="1" cm="1">
        <f t="array" ref="AL59">IFERROR(_xlfn.IFS(AL58&lt;=10,19500,AL58&lt;=30,19200,AL58&lt;=50,19000,AL58&lt;=100,18500),"")</f>
        <v>19500</v>
      </c>
      <c r="AM59" s="1" cm="1">
        <f t="array" ref="AM59">IFERROR(_xlfn.IFS(AM58&lt;=10,21000,AM58&lt;=30,20700,AM58&lt;=50,19800,AM58&lt;=100,18800),"")</f>
        <v>21000</v>
      </c>
      <c r="AN59" s="1" cm="1">
        <f t="array" ref="AN59">IFERROR(_xlfn.IFS(AN58&lt;=10,25000,AN58&lt;=30,23000,AN58&lt;=50,21000,AN58&lt;=100,20000),"")</f>
        <v>25000</v>
      </c>
      <c r="AO59" s="1" cm="1">
        <f t="array" ref="AO59">IFERROR(_xlfn.IFS(AO58&lt;=10,17000,AO58&lt;=30,15000,AO58&lt;=50,14000,AO58&lt;=100,13750),"")</f>
        <v>17000</v>
      </c>
      <c r="AP59" s="1" cm="1">
        <f t="array" ref="AP59">IFERROR(_xlfn.IFS(AP58&lt;=10,21000,AP58&lt;=30,20700,AP58&lt;=50,19800,AP58&lt;=100,18800),"")</f>
        <v>21000</v>
      </c>
      <c r="AQ59" s="1">
        <f>AVERAGE(AJ59:AP59)</f>
        <v>19785.714285714286</v>
      </c>
      <c r="AR59" s="66"/>
      <c r="AS59" s="66"/>
      <c r="AT59" s="66"/>
      <c r="AU59" s="66"/>
    </row>
    <row r="60" spans="1:47">
      <c r="M60" s="126"/>
      <c r="N60" s="121" t="str">
        <f t="shared" si="1"/>
        <v/>
      </c>
      <c r="O60" s="122"/>
      <c r="Q60" s="3"/>
      <c r="W60" s="124"/>
      <c r="X60" s="124"/>
      <c r="AI60" t="s">
        <v>139</v>
      </c>
      <c r="AJ60" s="1">
        <f>IFERROR(AJ58*AJ59,"")</f>
        <v>0</v>
      </c>
      <c r="AK60" s="1">
        <f t="shared" ref="AK60" si="103">IFERROR(AK58*AK59,"")</f>
        <v>180000</v>
      </c>
      <c r="AL60" s="1">
        <f t="shared" ref="AL60" si="104">IFERROR(AL58*AL59,"")</f>
        <v>0</v>
      </c>
      <c r="AM60" s="1">
        <f t="shared" ref="AM60" si="105">IFERROR(AM58*AM59,"")</f>
        <v>210000</v>
      </c>
      <c r="AN60" s="1">
        <f t="shared" ref="AN60" si="106">IFERROR(AN58*AN59,"")</f>
        <v>125000</v>
      </c>
      <c r="AO60" s="1">
        <f t="shared" ref="AO60" si="107">IFERROR(AO58*AO59,"")</f>
        <v>0</v>
      </c>
      <c r="AP60" s="1">
        <f t="shared" ref="AP60" si="108">IFERROR(AP58*AP59,"")</f>
        <v>105000</v>
      </c>
      <c r="AQ60" s="3">
        <f>SUM(Penjualan[[#This Row],[KATUN]:[SUTRA]])</f>
        <v>620000</v>
      </c>
      <c r="AR60" s="66">
        <f>AQ60*11%</f>
        <v>68200</v>
      </c>
      <c r="AS60" s="66">
        <f>Penjualan[[#This Row],[JUMLAH]]+Penjualan[[#This Row],[Pajak 11%]]</f>
        <v>688200</v>
      </c>
      <c r="AT60" s="66">
        <v>18200</v>
      </c>
      <c r="AU60" s="66">
        <f>Penjualan[[#This Row],[Jumlah + Tax]]-Penjualan[[#This Row],[Diskon]]</f>
        <v>670000</v>
      </c>
    </row>
    <row r="61" spans="1:47">
      <c r="M61" s="126"/>
      <c r="N61" s="121" t="str">
        <f t="shared" si="1"/>
        <v/>
      </c>
      <c r="O61" s="122"/>
      <c r="Q61" s="3"/>
      <c r="W61" s="124"/>
      <c r="X61" s="124"/>
      <c r="AI61" s="65" t="str">
        <f>"Jumlah Beli"&amp;" "&amp;O25</f>
        <v>Jumlah Beli Ghost A</v>
      </c>
      <c r="AJ61" s="41">
        <v>25</v>
      </c>
      <c r="AK61" s="41"/>
      <c r="AL61" s="41"/>
      <c r="AM61" s="41"/>
      <c r="AN61" s="41">
        <v>25</v>
      </c>
      <c r="AO61" s="41">
        <v>25</v>
      </c>
      <c r="AP61" s="41">
        <v>25</v>
      </c>
      <c r="AQ61" s="1">
        <f>SUM(AJ61:AP61)</f>
        <v>100</v>
      </c>
      <c r="AR61" s="66"/>
      <c r="AS61" s="66"/>
      <c r="AT61" s="66"/>
      <c r="AU61" s="66"/>
    </row>
    <row r="62" spans="1:47">
      <c r="M62" s="126"/>
      <c r="N62" s="121" t="str">
        <f t="shared" si="1"/>
        <v/>
      </c>
      <c r="O62" s="122"/>
      <c r="Q62" s="3"/>
      <c r="W62" s="124"/>
      <c r="X62" s="124"/>
      <c r="AI62" s="1" t="s">
        <v>138</v>
      </c>
      <c r="AJ62" s="1" cm="1">
        <f t="array" ref="AJ62">IFERROR(_xlfn.IFS(AJ61&lt;=10,17000,AJ61&lt;=30,15000,AJ61&lt;=50,14000,AJ61&lt;=100,13750),"")</f>
        <v>15000</v>
      </c>
      <c r="AK62" s="1" cm="1">
        <f t="array" ref="AK62">IFERROR(_xlfn.IFS(AK61&lt;=10,18000,AK61&lt;=30,17500,AK61&lt;=50,17000,AK61&lt;=100,16750),"")</f>
        <v>18000</v>
      </c>
      <c r="AL62" s="1" cm="1">
        <f t="array" ref="AL62">IFERROR(_xlfn.IFS(AL61&lt;=10,19500,AL61&lt;=30,19200,AL61&lt;=50,19000,AL61&lt;=100,18500),"")</f>
        <v>19500</v>
      </c>
      <c r="AM62" s="1" cm="1">
        <f t="array" ref="AM62">IFERROR(_xlfn.IFS(AM61&lt;=10,21000,AM61&lt;=30,20700,AM61&lt;=50,19800,AM61&lt;=100,18800),"")</f>
        <v>21000</v>
      </c>
      <c r="AN62" s="1" cm="1">
        <f t="array" ref="AN62">IFERROR(_xlfn.IFS(AN61&lt;=10,25000,AN61&lt;=30,23000,AN61&lt;=50,21000,AN61&lt;=100,20000),"")</f>
        <v>23000</v>
      </c>
      <c r="AO62" s="1" cm="1">
        <f t="array" ref="AO62">IFERROR(_xlfn.IFS(AO61&lt;=10,17000,AO61&lt;=30,15000,AO61&lt;=50,14000,AO61&lt;=100,13750),"")</f>
        <v>15000</v>
      </c>
      <c r="AP62" s="1" cm="1">
        <f t="array" ref="AP62">IFERROR(_xlfn.IFS(AP61&lt;=10,21000,AP61&lt;=30,20700,AP61&lt;=50,19800,AP61&lt;=100,18800),"")</f>
        <v>20700</v>
      </c>
      <c r="AQ62" s="1">
        <f>AVERAGE(AJ62:AP62)</f>
        <v>18885.714285714286</v>
      </c>
      <c r="AR62" s="66"/>
      <c r="AS62" s="66"/>
      <c r="AT62" s="66"/>
      <c r="AU62" s="66"/>
    </row>
    <row r="63" spans="1:47">
      <c r="M63" s="126"/>
      <c r="N63" s="121" t="str">
        <f t="shared" si="1"/>
        <v/>
      </c>
      <c r="O63" s="122"/>
      <c r="Q63" s="3"/>
      <c r="W63" s="124"/>
      <c r="X63" s="124"/>
      <c r="AI63" t="s">
        <v>139</v>
      </c>
      <c r="AJ63" s="1">
        <f>IFERROR(AJ61*AJ62,"")</f>
        <v>375000</v>
      </c>
      <c r="AK63" s="1">
        <f t="shared" ref="AK63" si="109">IFERROR(AK61*AK62,"")</f>
        <v>0</v>
      </c>
      <c r="AL63" s="1">
        <f t="shared" ref="AL63" si="110">IFERROR(AL61*AL62,"")</f>
        <v>0</v>
      </c>
      <c r="AM63" s="1">
        <f t="shared" ref="AM63" si="111">IFERROR(AM61*AM62,"")</f>
        <v>0</v>
      </c>
      <c r="AN63" s="1">
        <f t="shared" ref="AN63" si="112">IFERROR(AN61*AN62,"")</f>
        <v>575000</v>
      </c>
      <c r="AO63" s="1">
        <f t="shared" ref="AO63" si="113">IFERROR(AO61*AO62,"")</f>
        <v>375000</v>
      </c>
      <c r="AP63" s="1">
        <f t="shared" ref="AP63" si="114">IFERROR(AP61*AP62,"")</f>
        <v>517500</v>
      </c>
      <c r="AQ63" s="3">
        <f>SUM(Penjualan[[#This Row],[KATUN]:[SUTRA]])</f>
        <v>1842500</v>
      </c>
      <c r="AR63" s="66">
        <f>AQ63*11%</f>
        <v>202675</v>
      </c>
      <c r="AS63" s="66">
        <f>Penjualan[[#This Row],[JUMLAH]]+Penjualan[[#This Row],[Pajak 11%]]</f>
        <v>2045175</v>
      </c>
      <c r="AT63" s="66">
        <v>25175</v>
      </c>
      <c r="AU63" s="66">
        <f>Penjualan[[#This Row],[Jumlah + Tax]]-Penjualan[[#This Row],[Diskon]]</f>
        <v>2020000</v>
      </c>
    </row>
    <row r="64" spans="1:47">
      <c r="M64" s="126"/>
      <c r="N64" s="121" t="str">
        <f t="shared" si="1"/>
        <v/>
      </c>
      <c r="O64" s="122"/>
      <c r="Q64" s="3"/>
      <c r="W64" s="124"/>
      <c r="X64" s="124"/>
      <c r="AI64" s="65" t="str">
        <f>"Jumlah Beli"&amp;" "&amp;O26</f>
        <v>Jumlah Beli Ghost F</v>
      </c>
      <c r="AJ64" s="1">
        <v>25</v>
      </c>
      <c r="AK64" s="1"/>
      <c r="AL64" s="1"/>
      <c r="AM64" s="1"/>
      <c r="AN64" s="1">
        <v>25</v>
      </c>
      <c r="AO64" s="1">
        <v>25</v>
      </c>
      <c r="AP64" s="1">
        <v>25</v>
      </c>
      <c r="AQ64" s="1">
        <f>SUM(AJ64:AP64)</f>
        <v>100</v>
      </c>
      <c r="AR64" s="66"/>
      <c r="AS64" s="66"/>
      <c r="AT64" s="66"/>
      <c r="AU64" s="66"/>
    </row>
    <row r="65" spans="13:47">
      <c r="M65" s="126"/>
      <c r="N65" s="121" t="str">
        <f t="shared" si="1"/>
        <v/>
      </c>
      <c r="O65" s="122"/>
      <c r="Q65" s="3"/>
      <c r="W65" s="124"/>
      <c r="X65" s="124"/>
      <c r="AI65" s="1" t="s">
        <v>138</v>
      </c>
      <c r="AJ65" s="1" cm="1">
        <f t="array" ref="AJ65">IFERROR(_xlfn.IFS(AJ64&lt;=10,17000,AJ64&lt;=30,15000,AJ64&lt;=50,14000,AJ64&lt;=100,13750),"")</f>
        <v>15000</v>
      </c>
      <c r="AK65" s="1" cm="1">
        <f t="array" ref="AK65">IFERROR(_xlfn.IFS(AK64&lt;=10,18000,AK64&lt;=30,17500,AK64&lt;=50,17000,AK64&lt;=100,16750),"")</f>
        <v>18000</v>
      </c>
      <c r="AL65" s="1" cm="1">
        <f t="array" ref="AL65">IFERROR(_xlfn.IFS(AL64&lt;=10,19500,AL64&lt;=30,19200,AL64&lt;=50,19000,AL64&lt;=100,18500),"")</f>
        <v>19500</v>
      </c>
      <c r="AM65" s="1" cm="1">
        <f t="array" ref="AM65">IFERROR(_xlfn.IFS(AM64&lt;=10,21000,AM64&lt;=30,20700,AM64&lt;=50,19800,AM64&lt;=100,18800),"")</f>
        <v>21000</v>
      </c>
      <c r="AN65" s="1" cm="1">
        <f t="array" ref="AN65">IFERROR(_xlfn.IFS(AN64&lt;=10,25000,AN64&lt;=30,23000,AN64&lt;=50,21000,AN64&lt;=100,20000),"")</f>
        <v>23000</v>
      </c>
      <c r="AO65" s="1" cm="1">
        <f t="array" ref="AO65">IFERROR(_xlfn.IFS(AO64&lt;=10,17000,AO64&lt;=30,15000,AO64&lt;=50,14000,AO64&lt;=100,13750),"")</f>
        <v>15000</v>
      </c>
      <c r="AP65" s="1" cm="1">
        <f t="array" ref="AP65">IFERROR(_xlfn.IFS(AP64&lt;=10,21000,AP64&lt;=30,20700,AP64&lt;=50,19800,AP64&lt;=100,18800),"")</f>
        <v>20700</v>
      </c>
      <c r="AQ65" s="1">
        <f>AVERAGE(AJ65:AP65)</f>
        <v>18885.714285714286</v>
      </c>
      <c r="AR65" s="66"/>
      <c r="AS65" s="66"/>
      <c r="AT65" s="66"/>
      <c r="AU65" s="66"/>
    </row>
    <row r="66" spans="13:47">
      <c r="M66" s="126"/>
      <c r="N66" s="121" t="str">
        <f t="shared" si="1"/>
        <v/>
      </c>
      <c r="O66" s="122"/>
      <c r="Q66" s="3"/>
      <c r="W66" s="124"/>
      <c r="X66" s="124"/>
      <c r="AI66" t="s">
        <v>139</v>
      </c>
      <c r="AJ66" s="1">
        <f>IFERROR(AJ64*AJ65,"")</f>
        <v>375000</v>
      </c>
      <c r="AK66" s="1">
        <f t="shared" ref="AK66" si="115">IFERROR(AK64*AK65,"")</f>
        <v>0</v>
      </c>
      <c r="AL66" s="1">
        <f t="shared" ref="AL66" si="116">IFERROR(AL64*AL65,"")</f>
        <v>0</v>
      </c>
      <c r="AM66" s="1">
        <f t="shared" ref="AM66" si="117">IFERROR(AM64*AM65,"")</f>
        <v>0</v>
      </c>
      <c r="AN66" s="1">
        <f t="shared" ref="AN66" si="118">IFERROR(AN64*AN65,"")</f>
        <v>575000</v>
      </c>
      <c r="AO66" s="1">
        <f t="shared" ref="AO66" si="119">IFERROR(AO64*AO65,"")</f>
        <v>375000</v>
      </c>
      <c r="AP66" s="1">
        <f t="shared" ref="AP66" si="120">IFERROR(AP64*AP65,"")</f>
        <v>517500</v>
      </c>
      <c r="AQ66" s="3">
        <f>SUM(Penjualan[[#This Row],[KATUN]:[SUTRA]])</f>
        <v>1842500</v>
      </c>
      <c r="AR66" s="66">
        <f>AQ66*11%</f>
        <v>202675</v>
      </c>
      <c r="AS66" s="66">
        <f>Penjualan[[#This Row],[JUMLAH]]+Penjualan[[#This Row],[Pajak 11%]]</f>
        <v>2045175</v>
      </c>
      <c r="AT66" s="66">
        <v>25175</v>
      </c>
      <c r="AU66" s="66">
        <f>Penjualan[[#This Row],[Jumlah + Tax]]-Penjualan[[#This Row],[Diskon]]</f>
        <v>2020000</v>
      </c>
    </row>
    <row r="67" spans="13:47">
      <c r="M67" s="126"/>
      <c r="N67" s="121" t="str">
        <f t="shared" si="1"/>
        <v/>
      </c>
      <c r="O67" s="122"/>
      <c r="Q67" s="3"/>
      <c r="W67" s="124"/>
      <c r="X67" s="124"/>
      <c r="AI67" s="65" t="str">
        <f>"Jumlah Beli"&amp;" "&amp;O27</f>
        <v>Jumlah Beli Ghost D</v>
      </c>
      <c r="AJ67" s="1">
        <v>15</v>
      </c>
      <c r="AK67" s="1"/>
      <c r="AL67" s="1"/>
      <c r="AM67" s="1"/>
      <c r="AN67" s="1">
        <v>15</v>
      </c>
      <c r="AO67" s="1">
        <v>15</v>
      </c>
      <c r="AP67" s="1">
        <v>15</v>
      </c>
      <c r="AQ67" s="1">
        <f>SUM(AJ67:AP67)</f>
        <v>60</v>
      </c>
      <c r="AR67" s="66"/>
      <c r="AS67" s="66"/>
      <c r="AT67" s="66"/>
      <c r="AU67" s="66"/>
    </row>
    <row r="68" spans="13:47">
      <c r="M68" s="126"/>
      <c r="N68" s="121" t="str">
        <f t="shared" si="1"/>
        <v/>
      </c>
      <c r="O68" s="122"/>
      <c r="Q68" s="3"/>
      <c r="W68" s="124"/>
      <c r="X68" s="124"/>
      <c r="AI68" s="1" t="s">
        <v>138</v>
      </c>
      <c r="AJ68" s="1" cm="1">
        <f t="array" ref="AJ68">IFERROR(_xlfn.IFS(AJ67&lt;=10,17000,AJ67&lt;=30,15000,AJ67&lt;=50,14000,AJ67&lt;=100,13750),"")</f>
        <v>15000</v>
      </c>
      <c r="AK68" s="1" cm="1">
        <f t="array" ref="AK68">IFERROR(_xlfn.IFS(AK67&lt;=10,18000,AK67&lt;=30,17500,AK67&lt;=50,17000,AK67&lt;=100,16750),"")</f>
        <v>18000</v>
      </c>
      <c r="AL68" s="1" cm="1">
        <f t="array" ref="AL68">IFERROR(_xlfn.IFS(AL67&lt;=10,19500,AL67&lt;=30,19200,AL67&lt;=50,19000,AL67&lt;=100,18500),"")</f>
        <v>19500</v>
      </c>
      <c r="AM68" s="1" cm="1">
        <f t="array" ref="AM68">IFERROR(_xlfn.IFS(AM67&lt;=10,21000,AM67&lt;=30,20700,AM67&lt;=50,19800,AM67&lt;=100,18800),"")</f>
        <v>21000</v>
      </c>
      <c r="AN68" s="1" cm="1">
        <f t="array" ref="AN68">IFERROR(_xlfn.IFS(AN67&lt;=10,25000,AN67&lt;=30,23000,AN67&lt;=50,21000,AN67&lt;=100,20000),"")</f>
        <v>23000</v>
      </c>
      <c r="AO68" s="1" cm="1">
        <f t="array" ref="AO68">IFERROR(_xlfn.IFS(AO67&lt;=10,17000,AO67&lt;=30,15000,AO67&lt;=50,14000,AO67&lt;=100,13750),"")</f>
        <v>15000</v>
      </c>
      <c r="AP68" s="1" cm="1">
        <f t="array" ref="AP68">IFERROR(_xlfn.IFS(AP67&lt;=10,21000,AP67&lt;=30,20700,AP67&lt;=50,19800,AP67&lt;=100,18800),"")</f>
        <v>20700</v>
      </c>
      <c r="AQ68" s="1">
        <f>AVERAGE(AJ68:AP68)</f>
        <v>18885.714285714286</v>
      </c>
      <c r="AR68" s="66"/>
      <c r="AS68" s="66"/>
      <c r="AT68" s="66"/>
      <c r="AU68" s="66"/>
    </row>
    <row r="69" spans="13:47">
      <c r="M69" s="126"/>
      <c r="N69" s="121" t="str">
        <f t="shared" si="1"/>
        <v/>
      </c>
      <c r="O69" s="122"/>
      <c r="Q69" s="3"/>
      <c r="W69" s="124"/>
      <c r="X69" s="124"/>
      <c r="AI69" t="s">
        <v>139</v>
      </c>
      <c r="AJ69" s="1">
        <f>IFERROR(AJ67*AJ68,"")</f>
        <v>225000</v>
      </c>
      <c r="AK69" s="1">
        <f t="shared" ref="AK69" si="121">IFERROR(AK67*AK68,"")</f>
        <v>0</v>
      </c>
      <c r="AL69" s="1">
        <f t="shared" ref="AL69" si="122">IFERROR(AL67*AL68,"")</f>
        <v>0</v>
      </c>
      <c r="AM69" s="1">
        <f t="shared" ref="AM69" si="123">IFERROR(AM67*AM68,"")</f>
        <v>0</v>
      </c>
      <c r="AN69" s="1">
        <f t="shared" ref="AN69" si="124">IFERROR(AN67*AN68,"")</f>
        <v>345000</v>
      </c>
      <c r="AO69" s="1">
        <f t="shared" ref="AO69" si="125">IFERROR(AO67*AO68,"")</f>
        <v>225000</v>
      </c>
      <c r="AP69" s="1">
        <f t="shared" ref="AP69" si="126">IFERROR(AP67*AP68,"")</f>
        <v>310500</v>
      </c>
      <c r="AQ69" s="3">
        <f>SUM(Penjualan[[#This Row],[KATUN]:[SUTRA]])</f>
        <v>1105500</v>
      </c>
      <c r="AR69" s="66">
        <f>AQ69*11%</f>
        <v>121605</v>
      </c>
      <c r="AS69" s="66">
        <f>Penjualan[[#This Row],[JUMLAH]]+Penjualan[[#This Row],[Pajak 11%]]</f>
        <v>1227105</v>
      </c>
      <c r="AT69" s="66">
        <v>27105</v>
      </c>
      <c r="AU69" s="66">
        <f>Penjualan[[#This Row],[Jumlah + Tax]]-Penjualan[[#This Row],[Diskon]]</f>
        <v>1200000</v>
      </c>
    </row>
    <row r="70" spans="13:47">
      <c r="M70" s="126"/>
      <c r="N70" s="121" t="str">
        <f t="shared" si="1"/>
        <v/>
      </c>
      <c r="O70" s="122"/>
      <c r="Q70" s="3"/>
      <c r="W70" s="124"/>
      <c r="X70" s="124"/>
      <c r="AI70" s="65" t="str">
        <f>"Jumlah Beli"&amp;" "&amp;O28</f>
        <v>Jumlah Beli Ghost C</v>
      </c>
      <c r="AJ70" s="41">
        <v>1</v>
      </c>
      <c r="AK70" s="41">
        <v>2</v>
      </c>
      <c r="AL70" s="41">
        <v>1</v>
      </c>
      <c r="AM70" s="41">
        <v>10</v>
      </c>
      <c r="AN70" s="41">
        <v>6</v>
      </c>
      <c r="AO70" s="41">
        <v>9</v>
      </c>
      <c r="AP70" s="41">
        <v>2</v>
      </c>
      <c r="AQ70" s="1">
        <f>SUM(AJ70:AP70)</f>
        <v>31</v>
      </c>
      <c r="AR70" s="66"/>
      <c r="AS70" s="66"/>
      <c r="AT70" s="66"/>
      <c r="AU70" s="66"/>
    </row>
    <row r="71" spans="13:47">
      <c r="M71" s="126"/>
      <c r="N71" s="121" t="str">
        <f t="shared" si="1"/>
        <v/>
      </c>
      <c r="O71" s="122"/>
      <c r="Q71" s="3"/>
      <c r="W71" s="124"/>
      <c r="X71" s="124"/>
      <c r="AI71" s="1" t="s">
        <v>138</v>
      </c>
      <c r="AJ71" s="1">
        <v>1687.2727272727273</v>
      </c>
      <c r="AK71" s="1">
        <v>1687.2727272727273</v>
      </c>
      <c r="AL71" s="1">
        <v>1687.2727272727273</v>
      </c>
      <c r="AM71" s="1">
        <v>1687.2727272727273</v>
      </c>
      <c r="AN71" s="1">
        <v>1687.2727272727273</v>
      </c>
      <c r="AO71" s="1">
        <v>1687.2727272727273</v>
      </c>
      <c r="AP71" s="1">
        <v>1687.2727272727273</v>
      </c>
      <c r="AQ71" s="1">
        <v>1687.2727272727275</v>
      </c>
      <c r="AR71" s="66"/>
      <c r="AS71" s="66"/>
      <c r="AT71" s="66"/>
      <c r="AU71" s="66"/>
    </row>
    <row r="72" spans="13:47">
      <c r="M72" s="126"/>
      <c r="N72" s="121" t="str">
        <f t="shared" si="1"/>
        <v/>
      </c>
      <c r="O72" s="122"/>
      <c r="Q72" s="3"/>
      <c r="W72" s="124"/>
      <c r="X72" s="124"/>
      <c r="AI72" t="s">
        <v>139</v>
      </c>
      <c r="AJ72" s="1">
        <f>IFERROR(AJ70*AJ71,"")</f>
        <v>1687.2727272727273</v>
      </c>
      <c r="AK72" s="1">
        <f t="shared" ref="AK72" si="127">IFERROR(AK70*AK71,"")</f>
        <v>3374.5454545454545</v>
      </c>
      <c r="AL72" s="1">
        <f t="shared" ref="AL72" si="128">IFERROR(AL70*AL71,"")</f>
        <v>1687.2727272727273</v>
      </c>
      <c r="AM72" s="1">
        <f t="shared" ref="AM72" si="129">IFERROR(AM70*AM71,"")</f>
        <v>16872.727272727272</v>
      </c>
      <c r="AN72" s="1">
        <f t="shared" ref="AN72" si="130">IFERROR(AN70*AN71,"")</f>
        <v>10123.636363636364</v>
      </c>
      <c r="AO72" s="1">
        <f t="shared" ref="AO72" si="131">IFERROR(AO70*AO71,"")</f>
        <v>15185.454545454546</v>
      </c>
      <c r="AP72" s="1">
        <f t="shared" ref="AP72" si="132">IFERROR(AP70*AP71,"")</f>
        <v>3374.5454545454545</v>
      </c>
      <c r="AQ72" s="3">
        <f>SUM(Penjualan[[#This Row],[KATUN]:[SUTRA]])</f>
        <v>52305.454545454544</v>
      </c>
      <c r="AR72" s="66">
        <f>AQ72*11%</f>
        <v>5753.5999999999995</v>
      </c>
      <c r="AS72" s="66">
        <f>Penjualan[[#This Row],[JUMLAH]]+Penjualan[[#This Row],[Pajak 11%]]</f>
        <v>58059.054545454543</v>
      </c>
      <c r="AT72" s="66">
        <v>8059</v>
      </c>
      <c r="AU72" s="66">
        <f>Penjualan[[#This Row],[Jumlah + Tax]]-Penjualan[[#This Row],[Diskon]]</f>
        <v>50000.054545454543</v>
      </c>
    </row>
    <row r="73" spans="13:47">
      <c r="M73" s="126"/>
      <c r="N73" s="121" t="str">
        <f t="shared" ref="N73:N136" si="133">IFERROR(IF(M73&lt;&gt;"",TEXT(M73,"mmm"&amp;" "&amp;"yyyy"),""),"")</f>
        <v/>
      </c>
      <c r="O73" s="122"/>
      <c r="Q73" s="3"/>
      <c r="W73" s="124"/>
      <c r="X73" s="124"/>
      <c r="AH73" s="48">
        <v>46034</v>
      </c>
      <c r="AI73" s="65" t="str">
        <f>"Jumlah Beli"&amp;" "&amp;O29</f>
        <v>Jumlah Beli Ghost A</v>
      </c>
      <c r="AJ73" s="42">
        <f t="shared" ref="AJ73:AP73" si="134">P29/$U$5</f>
        <v>10</v>
      </c>
      <c r="AK73" s="42">
        <f t="shared" si="134"/>
        <v>10</v>
      </c>
      <c r="AL73" s="42">
        <f t="shared" si="134"/>
        <v>10</v>
      </c>
      <c r="AM73" s="42">
        <f t="shared" si="134"/>
        <v>0</v>
      </c>
      <c r="AN73" s="42">
        <f t="shared" si="134"/>
        <v>10</v>
      </c>
      <c r="AO73" s="42">
        <f t="shared" si="134"/>
        <v>0</v>
      </c>
      <c r="AP73" s="42">
        <f t="shared" si="134"/>
        <v>10</v>
      </c>
      <c r="AQ73" s="1">
        <f>SUM(AJ73:AP73)</f>
        <v>50</v>
      </c>
      <c r="AR73" s="66"/>
      <c r="AS73" s="66"/>
      <c r="AT73" s="66"/>
      <c r="AU73" s="66"/>
    </row>
    <row r="74" spans="13:47">
      <c r="M74" s="126"/>
      <c r="N74" s="121" t="str">
        <f t="shared" si="133"/>
        <v/>
      </c>
      <c r="O74" s="122"/>
      <c r="Q74" s="3"/>
      <c r="W74" s="124"/>
      <c r="X74" s="124"/>
      <c r="AI74" s="1" t="s">
        <v>138</v>
      </c>
      <c r="AJ74" s="1" cm="1">
        <f t="array" ref="AJ74">IFERROR(_xlfn.IFS(AJ73&lt;=10,17000,AJ73&lt;=30,15000,AJ73&lt;=50,14000,AJ73&lt;=100,13750),"")</f>
        <v>17000</v>
      </c>
      <c r="AK74" s="1" cm="1">
        <f t="array" ref="AK74">IFERROR(_xlfn.IFS(AK73&lt;=10,18000,AK73&lt;=30,17500,AK73&lt;=50,17000,AK73&lt;=100,16750),"")</f>
        <v>18000</v>
      </c>
      <c r="AL74" s="1" cm="1">
        <f t="array" ref="AL74">IFERROR(_xlfn.IFS(AL73&lt;=10,19500,AL73&lt;=30,19200,AL73&lt;=50,19000,AL73&lt;=100,18500),"")</f>
        <v>19500</v>
      </c>
      <c r="AM74" s="1" cm="1">
        <f t="array" ref="AM74">IFERROR(_xlfn.IFS(AM73&lt;=10,21000,AM73&lt;=30,20700,AM73&lt;=50,19800,AM73&lt;=100,18800),"")</f>
        <v>21000</v>
      </c>
      <c r="AN74" s="1" cm="1">
        <f t="array" ref="AN74">IFERROR(_xlfn.IFS(AN73&lt;=10,25000,AN73&lt;=30,23000,AN73&lt;=50,21000,AN73&lt;=100,20000),"")</f>
        <v>25000</v>
      </c>
      <c r="AO74" s="1" cm="1">
        <f t="array" ref="AO74">IFERROR(_xlfn.IFS(AO73&lt;=10,17000,AO73&lt;=30,15000,AO73&lt;=50,14000,AO73&lt;=100,13750),"")</f>
        <v>17000</v>
      </c>
      <c r="AP74" s="1" cm="1">
        <f t="array" ref="AP74">IFERROR(_xlfn.IFS(AP73&lt;=10,21000,AP73&lt;=30,20700,AP73&lt;=50,19800,AP73&lt;=100,18800),"")</f>
        <v>21000</v>
      </c>
      <c r="AQ74" s="1">
        <f>AVERAGE(AJ74:AP74)</f>
        <v>19785.714285714286</v>
      </c>
      <c r="AR74" s="66"/>
      <c r="AS74" s="66"/>
      <c r="AT74" s="66"/>
      <c r="AU74" s="66"/>
    </row>
    <row r="75" spans="13:47">
      <c r="M75" s="126"/>
      <c r="N75" s="121" t="str">
        <f t="shared" si="133"/>
        <v/>
      </c>
      <c r="O75" s="122"/>
      <c r="Q75" s="3"/>
      <c r="W75" s="124"/>
      <c r="X75" s="124"/>
      <c r="AI75" t="s">
        <v>139</v>
      </c>
      <c r="AJ75" s="1">
        <f>IFERROR(AJ73*AJ74,"")</f>
        <v>170000</v>
      </c>
      <c r="AK75" s="1">
        <f t="shared" ref="AK75:AP75" si="135">IFERROR(AK73*AK74,"")</f>
        <v>180000</v>
      </c>
      <c r="AL75" s="1">
        <f t="shared" si="135"/>
        <v>195000</v>
      </c>
      <c r="AM75" s="1">
        <f t="shared" si="135"/>
        <v>0</v>
      </c>
      <c r="AN75" s="1">
        <f t="shared" si="135"/>
        <v>250000</v>
      </c>
      <c r="AO75" s="1">
        <f t="shared" si="135"/>
        <v>0</v>
      </c>
      <c r="AP75" s="1">
        <f t="shared" si="135"/>
        <v>210000</v>
      </c>
      <c r="AQ75" s="3">
        <f>SUM(Penjualan[[#This Row],[KATUN]:[SUTRA]])</f>
        <v>1005000</v>
      </c>
      <c r="AR75" s="66">
        <f>AQ75*11%</f>
        <v>110550</v>
      </c>
      <c r="AS75" s="66">
        <f>Penjualan[[#This Row],[JUMLAH]]+Penjualan[[#This Row],[Pajak 11%]]</f>
        <v>1115550</v>
      </c>
      <c r="AT75" s="66">
        <v>15550</v>
      </c>
      <c r="AU75" s="66">
        <f>Penjualan[[#This Row],[Jumlah + Tax]]-Penjualan[[#This Row],[Diskon]]</f>
        <v>1100000</v>
      </c>
    </row>
    <row r="76" spans="13:47">
      <c r="M76" s="126"/>
      <c r="N76" s="121" t="str">
        <f t="shared" si="133"/>
        <v/>
      </c>
      <c r="O76" s="122"/>
      <c r="Q76" s="3"/>
      <c r="W76" s="124"/>
      <c r="X76" s="124"/>
      <c r="AI76" s="65" t="str">
        <f>"Jumlah Beli"&amp;" "&amp;O30</f>
        <v>Jumlah Beli Ghost B</v>
      </c>
      <c r="AJ76" s="42">
        <f t="shared" ref="AJ76:AP76" si="136">P30/$U$5</f>
        <v>5</v>
      </c>
      <c r="AK76" s="42">
        <f t="shared" si="136"/>
        <v>10</v>
      </c>
      <c r="AL76" s="42">
        <f t="shared" si="136"/>
        <v>5</v>
      </c>
      <c r="AM76" s="42">
        <f t="shared" si="136"/>
        <v>10</v>
      </c>
      <c r="AN76" s="42">
        <f t="shared" si="136"/>
        <v>5</v>
      </c>
      <c r="AO76" s="42">
        <f t="shared" si="136"/>
        <v>10</v>
      </c>
      <c r="AP76" s="42">
        <f t="shared" si="136"/>
        <v>5</v>
      </c>
      <c r="AQ76" s="1">
        <f>SUM(AJ76:AP76)</f>
        <v>50</v>
      </c>
      <c r="AR76" s="66"/>
      <c r="AS76" s="66"/>
      <c r="AT76" s="66"/>
      <c r="AU76" s="66"/>
    </row>
    <row r="77" spans="13:47">
      <c r="M77" s="126"/>
      <c r="N77" s="121" t="str">
        <f t="shared" si="133"/>
        <v/>
      </c>
      <c r="O77" s="122"/>
      <c r="Q77" s="3"/>
      <c r="W77" s="124"/>
      <c r="X77" s="124"/>
      <c r="AI77" s="1" t="s">
        <v>138</v>
      </c>
      <c r="AJ77" s="1" cm="1">
        <f t="array" ref="AJ77">IFERROR(_xlfn.IFS(AJ76&lt;=10,17000,AJ76&lt;=30,15000,AJ76&lt;=50,14000,AJ76&lt;=100,13750),"")</f>
        <v>17000</v>
      </c>
      <c r="AK77" s="1" cm="1">
        <f t="array" ref="AK77">IFERROR(_xlfn.IFS(AK76&lt;=10,18000,AK76&lt;=30,17500,AK76&lt;=50,17000,AK76&lt;=100,16750),"")</f>
        <v>18000</v>
      </c>
      <c r="AL77" s="1" cm="1">
        <f t="array" ref="AL77">IFERROR(_xlfn.IFS(AL76&lt;=10,19500,AL76&lt;=30,19200,AL76&lt;=50,19000,AL76&lt;=100,18500),"")</f>
        <v>19500</v>
      </c>
      <c r="AM77" s="1" cm="1">
        <f t="array" ref="AM77">IFERROR(_xlfn.IFS(AM76&lt;=10,21000,AM76&lt;=30,20700,AM76&lt;=50,19800,AM76&lt;=100,18800),"")</f>
        <v>21000</v>
      </c>
      <c r="AN77" s="1" cm="1">
        <f t="array" ref="AN77">IFERROR(_xlfn.IFS(AN76&lt;=10,25000,AN76&lt;=30,23000,AN76&lt;=50,21000,AN76&lt;=100,20000),"")</f>
        <v>25000</v>
      </c>
      <c r="AO77" s="1" cm="1">
        <f t="array" ref="AO77">IFERROR(_xlfn.IFS(AO76&lt;=10,17000,AO76&lt;=30,15000,AO76&lt;=50,14000,AO76&lt;=100,13750),"")</f>
        <v>17000</v>
      </c>
      <c r="AP77" s="1" cm="1">
        <f t="array" ref="AP77">IFERROR(_xlfn.IFS(AP76&lt;=10,21000,AP76&lt;=30,20700,AP76&lt;=50,19800,AP76&lt;=100,18800),"")</f>
        <v>21000</v>
      </c>
      <c r="AQ77" s="1">
        <f>AVERAGE(AJ77:AP77)</f>
        <v>19785.714285714286</v>
      </c>
      <c r="AR77" s="66"/>
      <c r="AS77" s="66"/>
      <c r="AT77" s="66"/>
      <c r="AU77" s="66"/>
    </row>
    <row r="78" spans="13:47">
      <c r="M78" s="126"/>
      <c r="N78" s="121" t="str">
        <f t="shared" si="133"/>
        <v/>
      </c>
      <c r="O78" s="122"/>
      <c r="Q78" s="3"/>
      <c r="W78" s="124"/>
      <c r="X78" s="124"/>
      <c r="AI78" t="s">
        <v>139</v>
      </c>
      <c r="AJ78" s="1">
        <f>IFERROR(AJ76*AJ77,"")</f>
        <v>85000</v>
      </c>
      <c r="AK78" s="1">
        <f t="shared" ref="AK78:AP78" si="137">IFERROR(AK76*AK77,"")</f>
        <v>180000</v>
      </c>
      <c r="AL78" s="1">
        <f t="shared" si="137"/>
        <v>97500</v>
      </c>
      <c r="AM78" s="1">
        <f t="shared" si="137"/>
        <v>210000</v>
      </c>
      <c r="AN78" s="1">
        <f t="shared" si="137"/>
        <v>125000</v>
      </c>
      <c r="AO78" s="1">
        <f t="shared" si="137"/>
        <v>170000</v>
      </c>
      <c r="AP78" s="1">
        <f t="shared" si="137"/>
        <v>105000</v>
      </c>
      <c r="AQ78" s="3">
        <f>SUM(Penjualan[[#This Row],[KATUN]:[SUTRA]])</f>
        <v>972500</v>
      </c>
      <c r="AR78" s="66">
        <f>AQ78*11%</f>
        <v>106975</v>
      </c>
      <c r="AS78" s="66">
        <f>Penjualan[[#This Row],[JUMLAH]]+Penjualan[[#This Row],[Pajak 11%]]</f>
        <v>1079475</v>
      </c>
      <c r="AT78" s="66">
        <v>19475</v>
      </c>
      <c r="AU78" s="66">
        <f>Penjualan[[#This Row],[Jumlah + Tax]]-Penjualan[[#This Row],[Diskon]]</f>
        <v>1060000</v>
      </c>
    </row>
    <row r="79" spans="13:47">
      <c r="M79" s="126"/>
      <c r="N79" s="121" t="str">
        <f t="shared" si="133"/>
        <v/>
      </c>
      <c r="O79" s="122"/>
      <c r="Q79" s="3"/>
      <c r="W79" s="124"/>
      <c r="X79" s="124"/>
      <c r="AI79" s="65" t="str">
        <f>"Jumlah Beli"&amp;" "&amp;O31</f>
        <v>Jumlah Beli Ghost C</v>
      </c>
      <c r="AJ79" s="41">
        <f t="shared" ref="AJ79:AP79" si="138">P31/$U$5</f>
        <v>10</v>
      </c>
      <c r="AK79" s="41">
        <f t="shared" si="138"/>
        <v>5</v>
      </c>
      <c r="AL79" s="41">
        <f t="shared" si="138"/>
        <v>10</v>
      </c>
      <c r="AM79" s="41">
        <f t="shared" si="138"/>
        <v>5</v>
      </c>
      <c r="AN79" s="41">
        <f t="shared" si="138"/>
        <v>10</v>
      </c>
      <c r="AO79" s="41">
        <f t="shared" si="138"/>
        <v>5</v>
      </c>
      <c r="AP79" s="41">
        <f t="shared" si="138"/>
        <v>10</v>
      </c>
      <c r="AQ79" s="1">
        <f>SUM(AJ79:AP79)</f>
        <v>55</v>
      </c>
      <c r="AR79" s="66"/>
      <c r="AS79" s="66"/>
      <c r="AT79" s="66"/>
      <c r="AU79" s="66"/>
    </row>
    <row r="80" spans="13:47">
      <c r="M80" s="126"/>
      <c r="N80" s="121" t="str">
        <f t="shared" si="133"/>
        <v/>
      </c>
      <c r="O80" s="122"/>
      <c r="Q80" s="3"/>
      <c r="W80" s="124"/>
      <c r="X80" s="124"/>
      <c r="AI80" s="1" t="s">
        <v>138</v>
      </c>
      <c r="AJ80" s="1" cm="1">
        <f t="array" ref="AJ80">IFERROR(_xlfn.IFS(AJ79&lt;=10,17000,AJ79&lt;=30,15000,AJ79&lt;=50,14000,AJ79&lt;=100,13750),"")</f>
        <v>17000</v>
      </c>
      <c r="AK80" s="1" cm="1">
        <f t="array" ref="AK80">IFERROR(_xlfn.IFS(AK79&lt;=10,18000,AK79&lt;=30,17500,AK79&lt;=50,17000,AK79&lt;=100,16750),"")</f>
        <v>18000</v>
      </c>
      <c r="AL80" s="1" cm="1">
        <f t="array" ref="AL80">IFERROR(_xlfn.IFS(AL79&lt;=10,19500,AL79&lt;=30,19200,AL79&lt;=50,19000,AL79&lt;=100,18500),"")</f>
        <v>19500</v>
      </c>
      <c r="AM80" s="1" cm="1">
        <f t="array" ref="AM80">IFERROR(_xlfn.IFS(AM79&lt;=10,21000,AM79&lt;=30,20700,AM79&lt;=50,19800,AM79&lt;=100,18800),"")</f>
        <v>21000</v>
      </c>
      <c r="AN80" s="1" cm="1">
        <f t="array" ref="AN80">IFERROR(_xlfn.IFS(AN79&lt;=10,25000,AN79&lt;=30,23000,AN79&lt;=50,21000,AN79&lt;=100,20000),"")</f>
        <v>25000</v>
      </c>
      <c r="AO80" s="1" cm="1">
        <f t="array" ref="AO80">IFERROR(_xlfn.IFS(AO79&lt;=10,17000,AO79&lt;=30,15000,AO79&lt;=50,14000,AO79&lt;=100,13750),"")</f>
        <v>17000</v>
      </c>
      <c r="AP80" s="1" cm="1">
        <f t="array" ref="AP80">IFERROR(_xlfn.IFS(AP79&lt;=10,21000,AP79&lt;=30,20700,AP79&lt;=50,19800,AP79&lt;=100,18800),"")</f>
        <v>21000</v>
      </c>
      <c r="AQ80" s="1">
        <f>AVERAGE(AJ80:AP80)</f>
        <v>19785.714285714286</v>
      </c>
      <c r="AR80" s="66"/>
      <c r="AS80" s="66"/>
      <c r="AT80" s="66"/>
      <c r="AU80" s="66"/>
    </row>
    <row r="81" spans="13:47">
      <c r="M81" s="126"/>
      <c r="N81" s="121" t="str">
        <f t="shared" si="133"/>
        <v/>
      </c>
      <c r="O81" s="122"/>
      <c r="Q81" s="3"/>
      <c r="W81" s="124"/>
      <c r="X81" s="124"/>
      <c r="AI81" t="s">
        <v>139</v>
      </c>
      <c r="AJ81" s="1">
        <f>IFERROR(AJ79*AJ80,"")</f>
        <v>170000</v>
      </c>
      <c r="AK81" s="1">
        <f t="shared" ref="AK81:AP81" si="139">IFERROR(AK79*AK80,"")</f>
        <v>90000</v>
      </c>
      <c r="AL81" s="1">
        <f t="shared" si="139"/>
        <v>195000</v>
      </c>
      <c r="AM81" s="1">
        <f t="shared" si="139"/>
        <v>105000</v>
      </c>
      <c r="AN81" s="1">
        <f t="shared" si="139"/>
        <v>250000</v>
      </c>
      <c r="AO81" s="1">
        <f t="shared" si="139"/>
        <v>85000</v>
      </c>
      <c r="AP81" s="1">
        <f t="shared" si="139"/>
        <v>210000</v>
      </c>
      <c r="AQ81" s="3">
        <f>SUM(Penjualan[[#This Row],[KATUN]:[SUTRA]])</f>
        <v>1105000</v>
      </c>
      <c r="AR81" s="66">
        <f>AQ81*11%</f>
        <v>121550</v>
      </c>
      <c r="AS81" s="66">
        <f>Penjualan[[#This Row],[JUMLAH]]+Penjualan[[#This Row],[Pajak 11%]]</f>
        <v>1226550</v>
      </c>
      <c r="AT81" s="66">
        <v>16550</v>
      </c>
      <c r="AU81" s="66">
        <f>Penjualan[[#This Row],[Jumlah + Tax]]-Penjualan[[#This Row],[Diskon]]</f>
        <v>1210000</v>
      </c>
    </row>
    <row r="82" spans="13:47">
      <c r="M82" s="126"/>
      <c r="N82" s="121" t="str">
        <f t="shared" si="133"/>
        <v/>
      </c>
      <c r="O82" s="122"/>
      <c r="Q82" s="3"/>
      <c r="W82" s="124"/>
      <c r="X82" s="124"/>
      <c r="AI82" s="65" t="str">
        <f>"Jumlah Beli"&amp;" "&amp;O32</f>
        <v>Jumlah Beli Ghost D</v>
      </c>
      <c r="AJ82" s="1">
        <f t="shared" ref="AJ82:AP82" si="140">P32/$U$5</f>
        <v>5</v>
      </c>
      <c r="AK82" s="1">
        <f t="shared" si="140"/>
        <v>10</v>
      </c>
      <c r="AL82" s="1">
        <f t="shared" si="140"/>
        <v>10</v>
      </c>
      <c r="AM82" s="1">
        <f t="shared" si="140"/>
        <v>10</v>
      </c>
      <c r="AN82" s="1">
        <f t="shared" si="140"/>
        <v>5</v>
      </c>
      <c r="AO82" s="1">
        <f t="shared" si="140"/>
        <v>10</v>
      </c>
      <c r="AP82" s="1">
        <f t="shared" si="140"/>
        <v>10</v>
      </c>
      <c r="AQ82" s="1">
        <f>SUM(AJ82:AP82)</f>
        <v>60</v>
      </c>
      <c r="AR82" s="66"/>
      <c r="AS82" s="66"/>
      <c r="AT82" s="66"/>
      <c r="AU82" s="66"/>
    </row>
    <row r="83" spans="13:47">
      <c r="M83" s="126"/>
      <c r="N83" s="121" t="str">
        <f t="shared" si="133"/>
        <v/>
      </c>
      <c r="O83" s="122"/>
      <c r="Q83" s="3"/>
      <c r="W83" s="124"/>
      <c r="X83" s="124"/>
      <c r="AI83" s="1" t="s">
        <v>138</v>
      </c>
      <c r="AJ83" s="1" cm="1">
        <f t="array" ref="AJ83">IFERROR(_xlfn.IFS(AJ82&lt;=10,17000,AJ82&lt;=30,15000,AJ82&lt;=50,14000,AJ82&lt;=100,13750),"")</f>
        <v>17000</v>
      </c>
      <c r="AK83" s="1" cm="1">
        <f t="array" ref="AK83">IFERROR(_xlfn.IFS(AK82&lt;=10,18000,AK82&lt;=30,17500,AK82&lt;=50,17000,AK82&lt;=100,16750),"")</f>
        <v>18000</v>
      </c>
      <c r="AL83" s="1" cm="1">
        <f t="array" ref="AL83">IFERROR(_xlfn.IFS(AL82&lt;=10,19500,AL82&lt;=30,19200,AL82&lt;=50,19000,AL82&lt;=100,18500),"")</f>
        <v>19500</v>
      </c>
      <c r="AM83" s="1" cm="1">
        <f t="array" ref="AM83">IFERROR(_xlfn.IFS(AM82&lt;=10,21000,AM82&lt;=30,20700,AM82&lt;=50,19800,AM82&lt;=100,18800),"")</f>
        <v>21000</v>
      </c>
      <c r="AN83" s="1" cm="1">
        <f t="array" ref="AN83">IFERROR(_xlfn.IFS(AN82&lt;=10,25000,AN82&lt;=30,23000,AN82&lt;=50,21000,AN82&lt;=100,20000),"")</f>
        <v>25000</v>
      </c>
      <c r="AO83" s="1" cm="1">
        <f t="array" ref="AO83">IFERROR(_xlfn.IFS(AO82&lt;=10,17000,AO82&lt;=30,15000,AO82&lt;=50,14000,AO82&lt;=100,13750),"")</f>
        <v>17000</v>
      </c>
      <c r="AP83" s="1" cm="1">
        <f t="array" ref="AP83">IFERROR(_xlfn.IFS(AP82&lt;=10,21000,AP82&lt;=30,20700,AP82&lt;=50,19800,AP82&lt;=100,18800),"")</f>
        <v>21000</v>
      </c>
      <c r="AQ83" s="1">
        <f>AVERAGE(AJ83:AP83)</f>
        <v>19785.714285714286</v>
      </c>
      <c r="AR83" s="66"/>
      <c r="AS83" s="66"/>
      <c r="AT83" s="66"/>
      <c r="AU83" s="66"/>
    </row>
    <row r="84" spans="13:47">
      <c r="M84" s="126"/>
      <c r="N84" s="121" t="str">
        <f t="shared" si="133"/>
        <v/>
      </c>
      <c r="O84" s="122"/>
      <c r="Q84" s="3"/>
      <c r="W84" s="124"/>
      <c r="X84" s="124"/>
      <c r="AI84" t="s">
        <v>139</v>
      </c>
      <c r="AJ84" s="1">
        <f>IFERROR(AJ82*AJ83,"")</f>
        <v>85000</v>
      </c>
      <c r="AK84" s="1">
        <f t="shared" ref="AK84:AP84" si="141">IFERROR(AK82*AK83,"")</f>
        <v>180000</v>
      </c>
      <c r="AL84" s="1">
        <f t="shared" si="141"/>
        <v>195000</v>
      </c>
      <c r="AM84" s="1">
        <f t="shared" si="141"/>
        <v>210000</v>
      </c>
      <c r="AN84" s="1">
        <f t="shared" si="141"/>
        <v>125000</v>
      </c>
      <c r="AO84" s="1">
        <f t="shared" si="141"/>
        <v>170000</v>
      </c>
      <c r="AP84" s="1">
        <f t="shared" si="141"/>
        <v>210000</v>
      </c>
      <c r="AQ84" s="3">
        <f>SUM(Penjualan[[#This Row],[KATUN]:[SUTRA]])</f>
        <v>1175000</v>
      </c>
      <c r="AR84" s="66">
        <f>AQ84*11%</f>
        <v>129250</v>
      </c>
      <c r="AS84" s="66">
        <f>Penjualan[[#This Row],[JUMLAH]]+Penjualan[[#This Row],[Pajak 11%]]</f>
        <v>1304250</v>
      </c>
      <c r="AT84" s="66">
        <v>14250</v>
      </c>
      <c r="AU84" s="66">
        <f>Penjualan[[#This Row],[Jumlah + Tax]]-Penjualan[[#This Row],[Diskon]]</f>
        <v>1290000</v>
      </c>
    </row>
    <row r="85" spans="13:47">
      <c r="M85" s="126"/>
      <c r="N85" s="121" t="str">
        <f t="shared" si="133"/>
        <v/>
      </c>
      <c r="O85" s="122"/>
      <c r="Q85" s="3"/>
      <c r="W85" s="124"/>
      <c r="X85" s="124"/>
      <c r="AI85" s="65" t="str">
        <f>"Jumlah Beli"&amp;" "&amp;O33</f>
        <v>Jumlah Beli Ghost E</v>
      </c>
      <c r="AJ85" s="1">
        <f t="shared" ref="AJ85:AP85" si="142">P33/$U$5</f>
        <v>5</v>
      </c>
      <c r="AK85" s="1">
        <f t="shared" si="142"/>
        <v>5</v>
      </c>
      <c r="AL85" s="1">
        <f t="shared" si="142"/>
        <v>5</v>
      </c>
      <c r="AM85" s="1">
        <f t="shared" si="142"/>
        <v>10</v>
      </c>
      <c r="AN85" s="1">
        <f t="shared" si="142"/>
        <v>10</v>
      </c>
      <c r="AO85" s="1">
        <f t="shared" si="142"/>
        <v>10</v>
      </c>
      <c r="AP85" s="1">
        <f t="shared" si="142"/>
        <v>5</v>
      </c>
      <c r="AQ85" s="1">
        <f>SUM(AJ85:AP85)</f>
        <v>50</v>
      </c>
      <c r="AR85" s="66"/>
      <c r="AS85" s="66"/>
      <c r="AT85" s="66"/>
      <c r="AU85" s="66"/>
    </row>
    <row r="86" spans="13:47">
      <c r="M86" s="126"/>
      <c r="N86" s="121" t="str">
        <f t="shared" si="133"/>
        <v/>
      </c>
      <c r="O86" s="122"/>
      <c r="Q86" s="3"/>
      <c r="W86" s="124"/>
      <c r="X86" s="124"/>
      <c r="AI86" s="1" t="s">
        <v>138</v>
      </c>
      <c r="AJ86" s="1" cm="1">
        <f t="array" ref="AJ86">IFERROR(_xlfn.IFS(AJ85&lt;=10,17000,AJ85&lt;=30,15000,AJ85&lt;=50,14000,AJ85&lt;=100,13750),"")</f>
        <v>17000</v>
      </c>
      <c r="AK86" s="1" cm="1">
        <f t="array" ref="AK86">IFERROR(_xlfn.IFS(AK85&lt;=10,18000,AK85&lt;=30,17500,AK85&lt;=50,17000,AK85&lt;=100,16750),"")</f>
        <v>18000</v>
      </c>
      <c r="AL86" s="1" cm="1">
        <f t="array" ref="AL86">IFERROR(_xlfn.IFS(AL85&lt;=10,19500,AL85&lt;=30,19200,AL85&lt;=50,19000,AL85&lt;=100,18500),"")</f>
        <v>19500</v>
      </c>
      <c r="AM86" s="1" cm="1">
        <f t="array" ref="AM86">IFERROR(_xlfn.IFS(AM85&lt;=10,21000,AM85&lt;=30,20700,AM85&lt;=50,19800,AM85&lt;=100,18800),"")</f>
        <v>21000</v>
      </c>
      <c r="AN86" s="1" cm="1">
        <f t="array" ref="AN86">IFERROR(_xlfn.IFS(AN85&lt;=10,25000,AN85&lt;=30,23000,AN85&lt;=50,21000,AN85&lt;=100,20000),"")</f>
        <v>25000</v>
      </c>
      <c r="AO86" s="1" cm="1">
        <f t="array" ref="AO86">IFERROR(_xlfn.IFS(AO85&lt;=10,17000,AO85&lt;=30,15000,AO85&lt;=50,14000,AO85&lt;=100,13750),"")</f>
        <v>17000</v>
      </c>
      <c r="AP86" s="1" cm="1">
        <f t="array" ref="AP86">IFERROR(_xlfn.IFS(AP85&lt;=10,21000,AP85&lt;=30,20700,AP85&lt;=50,19800,AP85&lt;=100,18800),"")</f>
        <v>21000</v>
      </c>
      <c r="AQ86" s="1">
        <f>AVERAGE(AJ86:AP86)</f>
        <v>19785.714285714286</v>
      </c>
      <c r="AR86" s="66"/>
      <c r="AS86" s="66"/>
      <c r="AT86" s="66"/>
      <c r="AU86" s="66"/>
    </row>
    <row r="87" spans="13:47">
      <c r="M87" s="126"/>
      <c r="N87" s="121" t="str">
        <f t="shared" si="133"/>
        <v/>
      </c>
      <c r="O87" s="122"/>
      <c r="Q87" s="3"/>
      <c r="W87" s="124"/>
      <c r="X87" s="124"/>
      <c r="AI87" t="s">
        <v>139</v>
      </c>
      <c r="AJ87" s="1">
        <f>IFERROR(AJ85*AJ86,"")</f>
        <v>85000</v>
      </c>
      <c r="AK87" s="1">
        <f t="shared" ref="AK87:AP87" si="143">IFERROR(AK85*AK86,"")</f>
        <v>90000</v>
      </c>
      <c r="AL87" s="1">
        <f t="shared" si="143"/>
        <v>97500</v>
      </c>
      <c r="AM87" s="1">
        <f t="shared" si="143"/>
        <v>210000</v>
      </c>
      <c r="AN87" s="1">
        <f t="shared" si="143"/>
        <v>250000</v>
      </c>
      <c r="AO87" s="1">
        <f t="shared" si="143"/>
        <v>170000</v>
      </c>
      <c r="AP87" s="1">
        <f t="shared" si="143"/>
        <v>105000</v>
      </c>
      <c r="AQ87" s="3">
        <f>SUM(Penjualan[[#This Row],[KATUN]:[SUTRA]])</f>
        <v>1007500</v>
      </c>
      <c r="AR87" s="66">
        <f>AQ87*11%</f>
        <v>110825</v>
      </c>
      <c r="AS87" s="66">
        <f>Penjualan[[#This Row],[JUMLAH]]+Penjualan[[#This Row],[Pajak 11%]]</f>
        <v>1118325</v>
      </c>
      <c r="AT87" s="66">
        <v>18325</v>
      </c>
      <c r="AU87" s="66">
        <f>Penjualan[[#This Row],[Jumlah + Tax]]-Penjualan[[#This Row],[Diskon]]</f>
        <v>1100000</v>
      </c>
    </row>
    <row r="88" spans="13:47">
      <c r="M88" s="126"/>
      <c r="N88" s="121" t="str">
        <f t="shared" si="133"/>
        <v/>
      </c>
      <c r="O88" s="122"/>
      <c r="Q88" s="3"/>
      <c r="W88" s="124"/>
      <c r="X88" s="124"/>
      <c r="AI88" s="65" t="str">
        <f>"Jumlah Beli"&amp;" "&amp;O34</f>
        <v>Jumlah Beli Ghost F</v>
      </c>
      <c r="AJ88" s="41">
        <f t="shared" ref="AJ88:AP88" si="144">P34/$U$5</f>
        <v>10</v>
      </c>
      <c r="AK88" s="41">
        <f t="shared" si="144"/>
        <v>5</v>
      </c>
      <c r="AL88" s="41">
        <f t="shared" si="144"/>
        <v>10</v>
      </c>
      <c r="AM88" s="41">
        <f t="shared" si="144"/>
        <v>5</v>
      </c>
      <c r="AN88" s="41">
        <f t="shared" si="144"/>
        <v>10</v>
      </c>
      <c r="AO88" s="41">
        <f t="shared" si="144"/>
        <v>5</v>
      </c>
      <c r="AP88" s="41">
        <f t="shared" si="144"/>
        <v>10</v>
      </c>
      <c r="AQ88" s="1">
        <f>SUM(AJ88:AP88)</f>
        <v>55</v>
      </c>
      <c r="AR88" s="66"/>
      <c r="AS88" s="66"/>
      <c r="AT88" s="66"/>
      <c r="AU88" s="66"/>
    </row>
    <row r="89" spans="13:47">
      <c r="M89" s="126"/>
      <c r="N89" s="121" t="str">
        <f t="shared" si="133"/>
        <v/>
      </c>
      <c r="O89" s="122"/>
      <c r="Q89" s="3"/>
      <c r="W89" s="124"/>
      <c r="X89" s="124"/>
      <c r="AI89" s="1" t="s">
        <v>138</v>
      </c>
      <c r="AJ89" s="1" cm="1">
        <f t="array" ref="AJ89">IFERROR(_xlfn.IFS(AJ88&lt;=10,17000,AJ88&lt;=30,15000,AJ88&lt;=50,14000,AJ88&lt;=100,13750),"")</f>
        <v>17000</v>
      </c>
      <c r="AK89" s="1" cm="1">
        <f t="array" ref="AK89">IFERROR(_xlfn.IFS(AK88&lt;=10,18000,AK88&lt;=30,17500,AK88&lt;=50,17000,AK88&lt;=100,16750),"")</f>
        <v>18000</v>
      </c>
      <c r="AL89" s="1" cm="1">
        <f t="array" ref="AL89">IFERROR(_xlfn.IFS(AL88&lt;=10,19500,AL88&lt;=30,19200,AL88&lt;=50,19000,AL88&lt;=100,18500),"")</f>
        <v>19500</v>
      </c>
      <c r="AM89" s="1" cm="1">
        <f t="array" ref="AM89">IFERROR(_xlfn.IFS(AM88&lt;=10,21000,AM88&lt;=30,20700,AM88&lt;=50,19800,AM88&lt;=100,18800),"")</f>
        <v>21000</v>
      </c>
      <c r="AN89" s="1" cm="1">
        <f t="array" ref="AN89">IFERROR(_xlfn.IFS(AN88&lt;=10,25000,AN88&lt;=30,23000,AN88&lt;=50,21000,AN88&lt;=100,20000),"")</f>
        <v>25000</v>
      </c>
      <c r="AO89" s="1" cm="1">
        <f t="array" ref="AO89">IFERROR(_xlfn.IFS(AO88&lt;=10,17000,AO88&lt;=30,15000,AO88&lt;=50,14000,AO88&lt;=100,13750),"")</f>
        <v>17000</v>
      </c>
      <c r="AP89" s="1" cm="1">
        <f t="array" ref="AP89">IFERROR(_xlfn.IFS(AP88&lt;=10,21000,AP88&lt;=30,20700,AP88&lt;=50,19800,AP88&lt;=100,18800),"")</f>
        <v>21000</v>
      </c>
      <c r="AQ89" s="1">
        <v>1687.2727272727275</v>
      </c>
      <c r="AR89" s="66"/>
      <c r="AS89" s="66"/>
      <c r="AT89" s="66"/>
      <c r="AU89" s="66"/>
    </row>
    <row r="90" spans="13:47">
      <c r="M90" s="126"/>
      <c r="N90" s="121" t="str">
        <f t="shared" si="133"/>
        <v/>
      </c>
      <c r="O90" s="122"/>
      <c r="Q90" s="3"/>
      <c r="W90" s="124"/>
      <c r="X90" s="124"/>
      <c r="AI90" t="s">
        <v>139</v>
      </c>
      <c r="AJ90" s="1">
        <f>IFERROR(AJ88*AJ89,"")</f>
        <v>170000</v>
      </c>
      <c r="AK90" s="1">
        <f t="shared" ref="AK90:AP90" si="145">IFERROR(AK88*AK89,"")</f>
        <v>90000</v>
      </c>
      <c r="AL90" s="1">
        <f t="shared" si="145"/>
        <v>195000</v>
      </c>
      <c r="AM90" s="1">
        <f t="shared" si="145"/>
        <v>105000</v>
      </c>
      <c r="AN90" s="1">
        <f t="shared" si="145"/>
        <v>250000</v>
      </c>
      <c r="AO90" s="1">
        <f t="shared" si="145"/>
        <v>85000</v>
      </c>
      <c r="AP90" s="1">
        <f t="shared" si="145"/>
        <v>210000</v>
      </c>
      <c r="AQ90" s="3">
        <f>SUM(Penjualan[[#This Row],[KATUN]:[SUTRA]])</f>
        <v>1105000</v>
      </c>
      <c r="AR90" s="66">
        <f>AQ90*11%</f>
        <v>121550</v>
      </c>
      <c r="AS90" s="66">
        <f>Penjualan[[#This Row],[JUMLAH]]+Penjualan[[#This Row],[Pajak 11%]]</f>
        <v>1226550</v>
      </c>
      <c r="AT90" s="66">
        <v>26550</v>
      </c>
      <c r="AU90" s="66">
        <f>Penjualan[[#This Row],[Jumlah + Tax]]-Penjualan[[#This Row],[Diskon]]</f>
        <v>1200000</v>
      </c>
    </row>
    <row r="91" spans="13:47">
      <c r="M91" s="126"/>
      <c r="N91" s="121" t="str">
        <f t="shared" si="133"/>
        <v/>
      </c>
      <c r="O91" s="122"/>
      <c r="Q91" s="3"/>
      <c r="W91" s="124"/>
      <c r="X91" s="124"/>
      <c r="AI91" s="65" t="str">
        <f>"Jumlah Beli"&amp;" "&amp;O35</f>
        <v>Jumlah Beli Ghost G</v>
      </c>
      <c r="AJ91" s="42">
        <f t="shared" ref="AJ91:AP91" si="146">P35/$U$5</f>
        <v>5</v>
      </c>
      <c r="AK91" s="42">
        <f t="shared" si="146"/>
        <v>5</v>
      </c>
      <c r="AL91" s="42">
        <f t="shared" si="146"/>
        <v>0</v>
      </c>
      <c r="AM91" s="42">
        <f t="shared" si="146"/>
        <v>10</v>
      </c>
      <c r="AN91" s="42">
        <f t="shared" si="146"/>
        <v>0</v>
      </c>
      <c r="AO91" s="42">
        <f t="shared" si="146"/>
        <v>10</v>
      </c>
      <c r="AP91" s="42">
        <f t="shared" si="146"/>
        <v>0</v>
      </c>
      <c r="AQ91" s="1">
        <f>SUM(AJ91:AP91)</f>
        <v>30</v>
      </c>
      <c r="AR91" s="66"/>
      <c r="AS91" s="66"/>
      <c r="AT91" s="66"/>
      <c r="AU91" s="66"/>
    </row>
    <row r="92" spans="13:47">
      <c r="M92" s="126"/>
      <c r="N92" s="121" t="str">
        <f t="shared" si="133"/>
        <v/>
      </c>
      <c r="O92" s="122"/>
      <c r="Q92" s="3"/>
      <c r="W92" s="124"/>
      <c r="X92" s="124"/>
      <c r="AI92" s="1" t="s">
        <v>138</v>
      </c>
      <c r="AJ92" s="1" cm="1">
        <f t="array" ref="AJ92">IFERROR(_xlfn.IFS(AJ91&lt;=10,17000,AJ91&lt;=30,15000,AJ91&lt;=50,14000,AJ91&lt;=100,13750),"")</f>
        <v>17000</v>
      </c>
      <c r="AK92" s="1" cm="1">
        <f t="array" ref="AK92">IFERROR(_xlfn.IFS(AK91&lt;=10,18000,AK91&lt;=30,17500,AK91&lt;=50,17000,AK91&lt;=100,16750),"")</f>
        <v>18000</v>
      </c>
      <c r="AL92" s="1" cm="1">
        <f t="array" ref="AL92">IFERROR(_xlfn.IFS(AL91&lt;=10,19500,AL91&lt;=30,19200,AL91&lt;=50,19000,AL91&lt;=100,18500),"")</f>
        <v>19500</v>
      </c>
      <c r="AM92" s="1" cm="1">
        <f t="array" ref="AM92">IFERROR(_xlfn.IFS(AM91&lt;=10,21000,AM91&lt;=30,20700,AM91&lt;=50,19800,AM91&lt;=100,18800),"")</f>
        <v>21000</v>
      </c>
      <c r="AN92" s="1" cm="1">
        <f t="array" ref="AN92">IFERROR(_xlfn.IFS(AN91&lt;=10,25000,AN91&lt;=30,23000,AN91&lt;=50,21000,AN91&lt;=100,20000),"")</f>
        <v>25000</v>
      </c>
      <c r="AO92" s="1" cm="1">
        <f t="array" ref="AO92">IFERROR(_xlfn.IFS(AO91&lt;=10,17000,AO91&lt;=30,15000,AO91&lt;=50,14000,AO91&lt;=100,13750),"")</f>
        <v>17000</v>
      </c>
      <c r="AP92" s="1" cm="1">
        <f t="array" ref="AP92">IFERROR(_xlfn.IFS(AP91&lt;=10,21000,AP91&lt;=30,20700,AP91&lt;=50,19800,AP91&lt;=100,18800),"")</f>
        <v>21000</v>
      </c>
      <c r="AQ92" s="1">
        <v>1687.2727272727275</v>
      </c>
      <c r="AR92" s="66"/>
      <c r="AS92" s="66"/>
      <c r="AT92" s="66"/>
      <c r="AU92" s="66"/>
    </row>
    <row r="93" spans="13:47">
      <c r="M93" s="126"/>
      <c r="N93" s="121" t="str">
        <f t="shared" si="133"/>
        <v/>
      </c>
      <c r="O93" s="122"/>
      <c r="Q93" s="3"/>
      <c r="W93" s="124"/>
      <c r="X93" s="124"/>
      <c r="AI93" t="s">
        <v>139</v>
      </c>
      <c r="AJ93" s="1">
        <f>IFERROR(AJ91*AJ92,"")</f>
        <v>85000</v>
      </c>
      <c r="AK93" s="1">
        <f t="shared" ref="AK93:AP93" si="147">IFERROR(AK91*AK92,"")</f>
        <v>90000</v>
      </c>
      <c r="AL93" s="1">
        <f t="shared" si="147"/>
        <v>0</v>
      </c>
      <c r="AM93" s="1">
        <f t="shared" si="147"/>
        <v>210000</v>
      </c>
      <c r="AN93" s="1">
        <f t="shared" si="147"/>
        <v>0</v>
      </c>
      <c r="AO93" s="1">
        <f t="shared" si="147"/>
        <v>170000</v>
      </c>
      <c r="AP93" s="1">
        <f t="shared" si="147"/>
        <v>0</v>
      </c>
      <c r="AQ93" s="3">
        <f>SUM(Penjualan[[#This Row],[KATUN]:[SUTRA]])</f>
        <v>555000</v>
      </c>
      <c r="AR93" s="66">
        <f>AQ93*11%</f>
        <v>61050</v>
      </c>
      <c r="AS93" s="66">
        <f>Penjualan[[#This Row],[JUMLAH]]+Penjualan[[#This Row],[Pajak 11%]]</f>
        <v>616050</v>
      </c>
      <c r="AT93" s="66">
        <v>16050</v>
      </c>
      <c r="AU93" s="66">
        <f>Penjualan[[#This Row],[Jumlah + Tax]]-Penjualan[[#This Row],[Diskon]]</f>
        <v>600000</v>
      </c>
    </row>
    <row r="94" spans="13:47">
      <c r="M94" s="126"/>
      <c r="N94" s="121" t="str">
        <f t="shared" si="133"/>
        <v/>
      </c>
      <c r="O94" s="122"/>
      <c r="Q94" s="3"/>
      <c r="W94" s="124"/>
      <c r="X94" s="124"/>
      <c r="AH94" s="125">
        <v>46071</v>
      </c>
      <c r="AI94" s="65" t="str">
        <f>"Jumlah Beli"&amp;" "&amp;O36</f>
        <v>Jumlah Beli Ghost A</v>
      </c>
      <c r="AJ94" s="42">
        <f>P36/$U$5</f>
        <v>15</v>
      </c>
      <c r="AK94" s="42">
        <f t="shared" ref="AK94:AP94" si="148">Q36/$U$5</f>
        <v>15</v>
      </c>
      <c r="AL94" s="42">
        <f t="shared" si="148"/>
        <v>5</v>
      </c>
      <c r="AM94" s="42">
        <f t="shared" si="148"/>
        <v>10</v>
      </c>
      <c r="AN94" s="42">
        <f t="shared" si="148"/>
        <v>20</v>
      </c>
      <c r="AO94" s="42">
        <f t="shared" si="148"/>
        <v>20</v>
      </c>
      <c r="AP94" s="42">
        <f t="shared" si="148"/>
        <v>15</v>
      </c>
      <c r="AQ94" s="1">
        <f>SUM(AJ94:AP94)</f>
        <v>100</v>
      </c>
      <c r="AR94" s="66"/>
      <c r="AS94" s="66"/>
      <c r="AT94" s="66"/>
      <c r="AU94" s="66"/>
    </row>
    <row r="95" spans="13:47">
      <c r="M95" s="126"/>
      <c r="N95" s="121" t="str">
        <f t="shared" si="133"/>
        <v/>
      </c>
      <c r="O95" s="122"/>
      <c r="Q95" s="3"/>
      <c r="W95" s="124"/>
      <c r="X95" s="124"/>
      <c r="AI95" s="1" t="s">
        <v>138</v>
      </c>
      <c r="AJ95" s="1" cm="1">
        <f t="array" ref="AJ95">IFERROR(_xlfn.IFS(AJ94&lt;=10,17000,AJ94&lt;=30,15000,AJ94&lt;=50,14000,AJ94&lt;=100,13750),"")</f>
        <v>15000</v>
      </c>
      <c r="AK95" s="1" cm="1">
        <f t="array" ref="AK95">IFERROR(_xlfn.IFS(AK94&lt;=10,18000,AK94&lt;=30,17500,AK94&lt;=50,17000,AK94&lt;=100,16750),"")</f>
        <v>17500</v>
      </c>
      <c r="AL95" s="1" cm="1">
        <f t="array" ref="AL95">IFERROR(_xlfn.IFS(AL94&lt;=10,19500,AL94&lt;=30,19200,AL94&lt;=50,19000,AL94&lt;=100,18500),"")</f>
        <v>19500</v>
      </c>
      <c r="AM95" s="1" cm="1">
        <f t="array" ref="AM95">IFERROR(_xlfn.IFS(AM94&lt;=10,21000,AM94&lt;=30,20700,AM94&lt;=50,19800,AM94&lt;=100,18800),"")</f>
        <v>21000</v>
      </c>
      <c r="AN95" s="1" cm="1">
        <f t="array" ref="AN95">IFERROR(_xlfn.IFS(AN94&lt;=10,25000,AN94&lt;=30,23000,AN94&lt;=50,21000,AN94&lt;=100,20000),"")</f>
        <v>23000</v>
      </c>
      <c r="AO95" s="1" cm="1">
        <f t="array" ref="AO95">IFERROR(_xlfn.IFS(AO94&lt;=10,17000,AO94&lt;=30,15000,AO94&lt;=50,14000,AO94&lt;=100,13750),"")</f>
        <v>15000</v>
      </c>
      <c r="AP95" s="1" cm="1">
        <f t="array" ref="AP95">IFERROR(_xlfn.IFS(AP94&lt;=10,21000,AP94&lt;=30,20700,AP94&lt;=50,19800,AP94&lt;=100,18800),"")</f>
        <v>20700</v>
      </c>
      <c r="AQ95" s="1">
        <f>AVERAGE(AJ95:AP95)</f>
        <v>18814.285714285714</v>
      </c>
      <c r="AR95" s="66"/>
      <c r="AS95" s="66"/>
      <c r="AT95" s="66"/>
      <c r="AU95" s="66"/>
    </row>
    <row r="96" spans="13:47">
      <c r="M96" s="126"/>
      <c r="N96" s="121" t="str">
        <f t="shared" si="133"/>
        <v/>
      </c>
      <c r="O96" s="122"/>
      <c r="Q96" s="3"/>
      <c r="W96" s="124"/>
      <c r="X96" s="124"/>
      <c r="AI96" t="s">
        <v>139</v>
      </c>
      <c r="AJ96" s="1">
        <f>IFERROR(AJ94*AJ95,"")</f>
        <v>225000</v>
      </c>
      <c r="AK96" s="1">
        <f t="shared" ref="AK96:AP96" si="149">IFERROR(AK94*AK95,"")</f>
        <v>262500</v>
      </c>
      <c r="AL96" s="1">
        <f t="shared" si="149"/>
        <v>97500</v>
      </c>
      <c r="AM96" s="1">
        <f t="shared" si="149"/>
        <v>210000</v>
      </c>
      <c r="AN96" s="1">
        <f t="shared" si="149"/>
        <v>460000</v>
      </c>
      <c r="AO96" s="1">
        <f t="shared" si="149"/>
        <v>300000</v>
      </c>
      <c r="AP96" s="1">
        <f t="shared" si="149"/>
        <v>310500</v>
      </c>
      <c r="AQ96" s="3">
        <f>SUM(Penjualan[[#This Row],[KATUN]:[SUTRA]])</f>
        <v>1865500</v>
      </c>
      <c r="AR96" s="66">
        <f>AQ96*11%</f>
        <v>205205</v>
      </c>
      <c r="AS96" s="66">
        <f>Penjualan[[#This Row],[JUMLAH]]+Penjualan[[#This Row],[Pajak 11%]]</f>
        <v>2070705</v>
      </c>
      <c r="AT96" s="66">
        <v>20705</v>
      </c>
      <c r="AU96" s="66">
        <f>Penjualan[[#This Row],[Jumlah + Tax]]-Penjualan[[#This Row],[Diskon]]</f>
        <v>2050000</v>
      </c>
    </row>
    <row r="97" spans="13:47">
      <c r="M97" s="126"/>
      <c r="N97" s="121" t="str">
        <f t="shared" si="133"/>
        <v/>
      </c>
      <c r="O97" s="122"/>
      <c r="Q97" s="3"/>
      <c r="W97" s="124"/>
      <c r="X97" s="124"/>
      <c r="AI97" s="65" t="str">
        <f>"Jumlah Beli"&amp;" "&amp;O37</f>
        <v>Jumlah Beli Ghost B</v>
      </c>
      <c r="AJ97" s="42">
        <f>P37/$U$5</f>
        <v>5</v>
      </c>
      <c r="AK97" s="42">
        <f t="shared" ref="AK97:AP97" si="150">Q37/$U$5</f>
        <v>20</v>
      </c>
      <c r="AL97" s="42">
        <f t="shared" si="150"/>
        <v>10</v>
      </c>
      <c r="AM97" s="42">
        <f t="shared" si="150"/>
        <v>50</v>
      </c>
      <c r="AN97" s="42">
        <f t="shared" si="150"/>
        <v>10</v>
      </c>
      <c r="AO97" s="42">
        <f t="shared" si="150"/>
        <v>10</v>
      </c>
      <c r="AP97" s="42">
        <f t="shared" si="150"/>
        <v>25</v>
      </c>
      <c r="AQ97" s="1">
        <f>SUM(AJ97:AP97)</f>
        <v>130</v>
      </c>
      <c r="AR97" s="66"/>
      <c r="AS97" s="66"/>
      <c r="AT97" s="66"/>
      <c r="AU97" s="66"/>
    </row>
    <row r="98" spans="13:47">
      <c r="M98" s="126"/>
      <c r="N98" s="121" t="str">
        <f t="shared" si="133"/>
        <v/>
      </c>
      <c r="O98" s="122"/>
      <c r="Q98" s="3"/>
      <c r="W98" s="124"/>
      <c r="X98" s="124"/>
      <c r="AI98" s="1" t="s">
        <v>138</v>
      </c>
      <c r="AJ98" s="1" cm="1">
        <f t="array" ref="AJ98">IFERROR(_xlfn.IFS(AJ97&lt;=10,17000,AJ97&lt;=30,15000,AJ97&lt;=50,14000,AJ97&lt;=100,13750),"")</f>
        <v>17000</v>
      </c>
      <c r="AK98" s="1" cm="1">
        <f t="array" ref="AK98">IFERROR(_xlfn.IFS(AK97&lt;=10,18000,AK97&lt;=30,17500,AK97&lt;=50,17000,AK97&lt;=100,16750),"")</f>
        <v>17500</v>
      </c>
      <c r="AL98" s="1" cm="1">
        <f t="array" ref="AL98">IFERROR(_xlfn.IFS(AL97&lt;=10,19500,AL97&lt;=30,19200,AL97&lt;=50,19000,AL97&lt;=100,18500),"")</f>
        <v>19500</v>
      </c>
      <c r="AM98" s="1" cm="1">
        <f t="array" ref="AM98">IFERROR(_xlfn.IFS(AM97&lt;=10,21000,AM97&lt;=30,20700,AM97&lt;=50,19800,AM97&lt;=100,18800),"")</f>
        <v>19800</v>
      </c>
      <c r="AN98" s="1" cm="1">
        <f t="array" ref="AN98">IFERROR(_xlfn.IFS(AN97&lt;=10,25000,AN97&lt;=30,23000,AN97&lt;=50,21000,AN97&lt;=100,20000),"")</f>
        <v>25000</v>
      </c>
      <c r="AO98" s="1" cm="1">
        <f t="array" ref="AO98">IFERROR(_xlfn.IFS(AO97&lt;=10,17000,AO97&lt;=30,15000,AO97&lt;=50,14000,AO97&lt;=100,13750),"")</f>
        <v>17000</v>
      </c>
      <c r="AP98" s="1" cm="1">
        <f t="array" ref="AP98">IFERROR(_xlfn.IFS(AP97&lt;=10,21000,AP97&lt;=30,20700,AP97&lt;=50,19800,AP97&lt;=100,18800),"")</f>
        <v>20700</v>
      </c>
      <c r="AQ98" s="1">
        <f>AVERAGE(AJ98:AP98)</f>
        <v>19500</v>
      </c>
      <c r="AR98" s="66"/>
      <c r="AS98" s="66"/>
      <c r="AT98" s="66"/>
      <c r="AU98" s="66"/>
    </row>
    <row r="99" spans="13:47">
      <c r="M99" s="126"/>
      <c r="N99" s="121" t="str">
        <f t="shared" si="133"/>
        <v/>
      </c>
      <c r="O99" s="122"/>
      <c r="Q99" s="3"/>
      <c r="W99" s="124"/>
      <c r="X99" s="124"/>
      <c r="AI99" t="s">
        <v>139</v>
      </c>
      <c r="AJ99" s="1">
        <f>IFERROR(AJ97*AJ98,"")</f>
        <v>85000</v>
      </c>
      <c r="AK99" s="1">
        <f t="shared" ref="AK99:AP99" si="151">IFERROR(AK97*AK98,"")</f>
        <v>350000</v>
      </c>
      <c r="AL99" s="1">
        <f t="shared" si="151"/>
        <v>195000</v>
      </c>
      <c r="AM99" s="1">
        <f t="shared" si="151"/>
        <v>990000</v>
      </c>
      <c r="AN99" s="1">
        <f t="shared" si="151"/>
        <v>250000</v>
      </c>
      <c r="AO99" s="1">
        <f t="shared" si="151"/>
        <v>170000</v>
      </c>
      <c r="AP99" s="1">
        <f t="shared" si="151"/>
        <v>517500</v>
      </c>
      <c r="AQ99" s="3">
        <f>SUM(Penjualan[[#This Row],[KATUN]:[SUTRA]])</f>
        <v>2557500</v>
      </c>
      <c r="AR99" s="66">
        <f>AQ99*11%</f>
        <v>281325</v>
      </c>
      <c r="AS99" s="66">
        <f>Penjualan[[#This Row],[JUMLAH]]+Penjualan[[#This Row],[Pajak 11%]]</f>
        <v>2838825</v>
      </c>
      <c r="AT99" s="66">
        <v>18825</v>
      </c>
      <c r="AU99" s="66">
        <f>Penjualan[[#This Row],[Jumlah + Tax]]-Penjualan[[#This Row],[Diskon]]</f>
        <v>2820000</v>
      </c>
    </row>
    <row r="100" spans="13:47">
      <c r="M100" s="126"/>
      <c r="N100" s="121" t="str">
        <f t="shared" si="133"/>
        <v/>
      </c>
      <c r="O100" s="122"/>
      <c r="Q100" s="3"/>
      <c r="W100" s="124"/>
      <c r="X100" s="124"/>
      <c r="AI100" s="65" t="str">
        <f>"Jumlah Beli"&amp;" "&amp;O38</f>
        <v>Jumlah Beli Ghost C</v>
      </c>
      <c r="AJ100" s="41">
        <f>P38/$U$5</f>
        <v>10</v>
      </c>
      <c r="AK100" s="41">
        <f t="shared" ref="AK100:AP100" si="152">Q38/$U$5</f>
        <v>20</v>
      </c>
      <c r="AL100" s="41">
        <f t="shared" si="152"/>
        <v>10</v>
      </c>
      <c r="AM100" s="41">
        <f t="shared" si="152"/>
        <v>10</v>
      </c>
      <c r="AN100" s="41">
        <f t="shared" si="152"/>
        <v>10</v>
      </c>
      <c r="AO100" s="41">
        <f t="shared" si="152"/>
        <v>20</v>
      </c>
      <c r="AP100" s="41">
        <f t="shared" si="152"/>
        <v>10</v>
      </c>
      <c r="AQ100" s="1">
        <f>SUM(AJ100:AP100)</f>
        <v>90</v>
      </c>
      <c r="AR100" s="66"/>
      <c r="AS100" s="66"/>
      <c r="AT100" s="66"/>
      <c r="AU100" s="66"/>
    </row>
    <row r="101" spans="13:47">
      <c r="M101" s="126"/>
      <c r="N101" s="121" t="str">
        <f t="shared" si="133"/>
        <v/>
      </c>
      <c r="O101" s="122"/>
      <c r="Q101" s="3"/>
      <c r="W101" s="124"/>
      <c r="X101" s="124"/>
      <c r="AI101" s="1" t="s">
        <v>138</v>
      </c>
      <c r="AJ101" s="1" cm="1">
        <f t="array" ref="AJ101">IFERROR(_xlfn.IFS(AJ100&lt;=10,17000,AJ100&lt;=30,15000,AJ100&lt;=50,14000,AJ100&lt;=100,13750),"")</f>
        <v>17000</v>
      </c>
      <c r="AK101" s="1" cm="1">
        <f t="array" ref="AK101">IFERROR(_xlfn.IFS(AK100&lt;=10,18000,AK100&lt;=30,17500,AK100&lt;=50,17000,AK100&lt;=100,16750),"")</f>
        <v>17500</v>
      </c>
      <c r="AL101" s="1" cm="1">
        <f t="array" ref="AL101">IFERROR(_xlfn.IFS(AL100&lt;=10,19500,AL100&lt;=30,19200,AL100&lt;=50,19000,AL100&lt;=100,18500),"")</f>
        <v>19500</v>
      </c>
      <c r="AM101" s="1" cm="1">
        <f t="array" ref="AM101">IFERROR(_xlfn.IFS(AM100&lt;=10,21000,AM100&lt;=30,20700,AM100&lt;=50,19800,AM100&lt;=100,18800),"")</f>
        <v>21000</v>
      </c>
      <c r="AN101" s="1" cm="1">
        <f t="array" ref="AN101">IFERROR(_xlfn.IFS(AN100&lt;=10,25000,AN100&lt;=30,23000,AN100&lt;=50,21000,AN100&lt;=100,20000),"")</f>
        <v>25000</v>
      </c>
      <c r="AO101" s="1" cm="1">
        <f t="array" ref="AO101">IFERROR(_xlfn.IFS(AO100&lt;=10,17000,AO100&lt;=30,15000,AO100&lt;=50,14000,AO100&lt;=100,13750),"")</f>
        <v>15000</v>
      </c>
      <c r="AP101" s="1" cm="1">
        <f t="array" ref="AP101">IFERROR(_xlfn.IFS(AP100&lt;=10,21000,AP100&lt;=30,20700,AP100&lt;=50,19800,AP100&lt;=100,18800),"")</f>
        <v>21000</v>
      </c>
      <c r="AQ101" s="1">
        <f>AVERAGE(AJ101:AP101)</f>
        <v>19428.571428571428</v>
      </c>
      <c r="AR101" s="66"/>
      <c r="AS101" s="66"/>
      <c r="AT101" s="66"/>
      <c r="AU101" s="66"/>
    </row>
    <row r="102" spans="13:47">
      <c r="M102" s="126"/>
      <c r="N102" s="121" t="str">
        <f t="shared" si="133"/>
        <v/>
      </c>
      <c r="O102" s="122"/>
      <c r="Q102" s="3"/>
      <c r="W102" s="124"/>
      <c r="X102" s="124"/>
      <c r="AI102" t="s">
        <v>139</v>
      </c>
      <c r="AJ102" s="1">
        <f>IFERROR(AJ100*AJ101,"")</f>
        <v>170000</v>
      </c>
      <c r="AK102" s="1">
        <f t="shared" ref="AK102:AP102" si="153">IFERROR(AK100*AK101,"")</f>
        <v>350000</v>
      </c>
      <c r="AL102" s="1">
        <f t="shared" si="153"/>
        <v>195000</v>
      </c>
      <c r="AM102" s="1">
        <f t="shared" si="153"/>
        <v>210000</v>
      </c>
      <c r="AN102" s="1">
        <f t="shared" si="153"/>
        <v>250000</v>
      </c>
      <c r="AO102" s="1">
        <f t="shared" si="153"/>
        <v>300000</v>
      </c>
      <c r="AP102" s="1">
        <f t="shared" si="153"/>
        <v>210000</v>
      </c>
      <c r="AQ102" s="3">
        <f>SUM(Penjualan[[#This Row],[KATUN]:[SUTRA]])</f>
        <v>1685000</v>
      </c>
      <c r="AR102" s="66">
        <f>AQ102*11%</f>
        <v>185350</v>
      </c>
      <c r="AS102" s="66">
        <f>Penjualan[[#This Row],[JUMLAH]]+Penjualan[[#This Row],[Pajak 11%]]</f>
        <v>1870350</v>
      </c>
      <c r="AT102" s="66">
        <v>20350</v>
      </c>
      <c r="AU102" s="66">
        <f>Penjualan[[#This Row],[Jumlah + Tax]]-Penjualan[[#This Row],[Diskon]]</f>
        <v>1850000</v>
      </c>
    </row>
    <row r="103" spans="13:47">
      <c r="M103" s="126"/>
      <c r="N103" s="121" t="str">
        <f t="shared" si="133"/>
        <v/>
      </c>
      <c r="O103" s="122"/>
      <c r="Q103" s="3"/>
      <c r="W103" s="124"/>
      <c r="X103" s="124"/>
      <c r="AI103" s="65" t="str">
        <f>"Jumlah Beli"&amp;" "&amp;O39</f>
        <v>Jumlah Beli Ghost D</v>
      </c>
      <c r="AJ103" s="1">
        <f>P39/$U$5</f>
        <v>20</v>
      </c>
      <c r="AK103" s="1">
        <f t="shared" ref="AK103:AP103" si="154">Q39/$U$5</f>
        <v>5</v>
      </c>
      <c r="AL103" s="1">
        <f t="shared" si="154"/>
        <v>10</v>
      </c>
      <c r="AM103" s="1">
        <f t="shared" si="154"/>
        <v>10</v>
      </c>
      <c r="AN103" s="1">
        <f t="shared" si="154"/>
        <v>15</v>
      </c>
      <c r="AO103" s="1">
        <f t="shared" si="154"/>
        <v>5</v>
      </c>
      <c r="AP103" s="1">
        <f t="shared" si="154"/>
        <v>5</v>
      </c>
      <c r="AQ103" s="1">
        <f>SUM(AJ103:AP103)</f>
        <v>70</v>
      </c>
      <c r="AR103" s="66"/>
      <c r="AS103" s="66"/>
      <c r="AT103" s="66"/>
      <c r="AU103" s="66"/>
    </row>
    <row r="104" spans="13:47">
      <c r="M104" s="126"/>
      <c r="N104" s="121" t="str">
        <f t="shared" si="133"/>
        <v/>
      </c>
      <c r="O104" s="122"/>
      <c r="Q104" s="3"/>
      <c r="W104" s="124"/>
      <c r="X104" s="124"/>
      <c r="AI104" s="1" t="s">
        <v>138</v>
      </c>
      <c r="AJ104" s="1" cm="1">
        <f t="array" ref="AJ104">IFERROR(_xlfn.IFS(AJ103&lt;=10,17000,AJ103&lt;=30,15000,AJ103&lt;=50,14000,AJ103&lt;=100,13750),"")</f>
        <v>15000</v>
      </c>
      <c r="AK104" s="1" cm="1">
        <f t="array" ref="AK104">IFERROR(_xlfn.IFS(AK103&lt;=10,18000,AK103&lt;=30,17500,AK103&lt;=50,17000,AK103&lt;=100,16750),"")</f>
        <v>18000</v>
      </c>
      <c r="AL104" s="1" cm="1">
        <f t="array" ref="AL104">IFERROR(_xlfn.IFS(AL103&lt;=10,19500,AL103&lt;=30,19200,AL103&lt;=50,19000,AL103&lt;=100,18500),"")</f>
        <v>19500</v>
      </c>
      <c r="AM104" s="1" cm="1">
        <f t="array" ref="AM104">IFERROR(_xlfn.IFS(AM103&lt;=10,21000,AM103&lt;=30,20700,AM103&lt;=50,19800,AM103&lt;=100,18800),"")</f>
        <v>21000</v>
      </c>
      <c r="AN104" s="1" cm="1">
        <f t="array" ref="AN104">IFERROR(_xlfn.IFS(AN103&lt;=10,25000,AN103&lt;=30,23000,AN103&lt;=50,21000,AN103&lt;=100,20000),"")</f>
        <v>23000</v>
      </c>
      <c r="AO104" s="1" cm="1">
        <f t="array" ref="AO104">IFERROR(_xlfn.IFS(AO103&lt;=10,17000,AO103&lt;=30,15000,AO103&lt;=50,14000,AO103&lt;=100,13750),"")</f>
        <v>17000</v>
      </c>
      <c r="AP104" s="1" cm="1">
        <f t="array" ref="AP104">IFERROR(_xlfn.IFS(AP103&lt;=10,21000,AP103&lt;=30,20700,AP103&lt;=50,19800,AP103&lt;=100,18800),"")</f>
        <v>21000</v>
      </c>
      <c r="AQ104" s="1">
        <f>AVERAGE(AJ104:AP104)</f>
        <v>19214.285714285714</v>
      </c>
      <c r="AR104" s="66"/>
      <c r="AS104" s="66"/>
      <c r="AT104" s="66"/>
      <c r="AU104" s="66"/>
    </row>
    <row r="105" spans="13:47">
      <c r="M105" s="126"/>
      <c r="N105" s="121" t="str">
        <f t="shared" si="133"/>
        <v/>
      </c>
      <c r="O105" s="122"/>
      <c r="Q105" s="3"/>
      <c r="W105" s="124"/>
      <c r="X105" s="124"/>
      <c r="AI105" t="s">
        <v>139</v>
      </c>
      <c r="AJ105" s="1">
        <f>IFERROR(AJ103*AJ104,"")</f>
        <v>300000</v>
      </c>
      <c r="AK105" s="1">
        <f t="shared" ref="AK105:AP105" si="155">IFERROR(AK103*AK104,"")</f>
        <v>90000</v>
      </c>
      <c r="AL105" s="1">
        <f t="shared" si="155"/>
        <v>195000</v>
      </c>
      <c r="AM105" s="1">
        <f t="shared" si="155"/>
        <v>210000</v>
      </c>
      <c r="AN105" s="1">
        <f t="shared" si="155"/>
        <v>345000</v>
      </c>
      <c r="AO105" s="1">
        <f t="shared" si="155"/>
        <v>85000</v>
      </c>
      <c r="AP105" s="1">
        <f t="shared" si="155"/>
        <v>105000</v>
      </c>
      <c r="AQ105" s="3">
        <f>SUM(Penjualan[[#This Row],[KATUN]:[SUTRA]])</f>
        <v>1330000</v>
      </c>
      <c r="AR105" s="66">
        <f>AQ105*11%</f>
        <v>146300</v>
      </c>
      <c r="AS105" s="66">
        <f>Penjualan[[#This Row],[JUMLAH]]+Penjualan[[#This Row],[Pajak 11%]]</f>
        <v>1476300</v>
      </c>
      <c r="AT105" s="66">
        <v>26300</v>
      </c>
      <c r="AU105" s="66">
        <f>Penjualan[[#This Row],[Jumlah + Tax]]-Penjualan[[#This Row],[Diskon]]</f>
        <v>1450000</v>
      </c>
    </row>
    <row r="106" spans="13:47">
      <c r="M106" s="126"/>
      <c r="N106" s="121" t="str">
        <f t="shared" si="133"/>
        <v/>
      </c>
      <c r="O106" s="122"/>
      <c r="Q106" s="3"/>
      <c r="W106" s="124"/>
      <c r="X106" s="124"/>
      <c r="AI106" s="65" t="str">
        <f>"Jumlah Beli"&amp;" "&amp;O40</f>
        <v>Jumlah Beli Ghost E</v>
      </c>
      <c r="AJ106" s="1">
        <f>P40/$U$5</f>
        <v>20</v>
      </c>
      <c r="AK106" s="1">
        <f t="shared" ref="AK106:AP106" si="156">Q40/$U$5</f>
        <v>5</v>
      </c>
      <c r="AL106" s="1">
        <f t="shared" si="156"/>
        <v>20</v>
      </c>
      <c r="AM106" s="1">
        <f t="shared" si="156"/>
        <v>10</v>
      </c>
      <c r="AN106" s="1">
        <f t="shared" si="156"/>
        <v>20</v>
      </c>
      <c r="AO106" s="1">
        <f t="shared" si="156"/>
        <v>15</v>
      </c>
      <c r="AP106" s="1">
        <f t="shared" si="156"/>
        <v>15</v>
      </c>
      <c r="AQ106" s="1">
        <f>SUM(AJ106:AP106)</f>
        <v>105</v>
      </c>
      <c r="AR106" s="66"/>
      <c r="AS106" s="66"/>
      <c r="AT106" s="66"/>
      <c r="AU106" s="66"/>
    </row>
    <row r="107" spans="13:47">
      <c r="M107" s="126"/>
      <c r="N107" s="121" t="str">
        <f t="shared" si="133"/>
        <v/>
      </c>
      <c r="O107" s="122"/>
      <c r="Q107" s="3"/>
      <c r="W107" s="124"/>
      <c r="X107" s="124"/>
      <c r="AI107" s="1" t="s">
        <v>138</v>
      </c>
      <c r="AJ107" s="1" cm="1">
        <f t="array" ref="AJ107">IFERROR(_xlfn.IFS(AJ106&lt;=10,17000,AJ106&lt;=30,15000,AJ106&lt;=50,14000,AJ106&lt;=100,13750),"")</f>
        <v>15000</v>
      </c>
      <c r="AK107" s="1" cm="1">
        <f t="array" ref="AK107">IFERROR(_xlfn.IFS(AK106&lt;=10,18000,AK106&lt;=30,17500,AK106&lt;=50,17000,AK106&lt;=100,16750),"")</f>
        <v>18000</v>
      </c>
      <c r="AL107" s="1" cm="1">
        <f t="array" ref="AL107">IFERROR(_xlfn.IFS(AL106&lt;=10,19500,AL106&lt;=30,19200,AL106&lt;=50,19000,AL106&lt;=100,18500),"")</f>
        <v>19200</v>
      </c>
      <c r="AM107" s="1" cm="1">
        <f t="array" ref="AM107">IFERROR(_xlfn.IFS(AM106&lt;=10,21000,AM106&lt;=30,20700,AM106&lt;=50,19800,AM106&lt;=100,18800),"")</f>
        <v>21000</v>
      </c>
      <c r="AN107" s="1" cm="1">
        <f t="array" ref="AN107">IFERROR(_xlfn.IFS(AN106&lt;=10,25000,AN106&lt;=30,23000,AN106&lt;=50,21000,AN106&lt;=100,20000),"")</f>
        <v>23000</v>
      </c>
      <c r="AO107" s="1" cm="1">
        <f t="array" ref="AO107">IFERROR(_xlfn.IFS(AO106&lt;=10,17000,AO106&lt;=30,15000,AO106&lt;=50,14000,AO106&lt;=100,13750),"")</f>
        <v>15000</v>
      </c>
      <c r="AP107" s="1" cm="1">
        <f t="array" ref="AP107">IFERROR(_xlfn.IFS(AP106&lt;=10,21000,AP106&lt;=30,20700,AP106&lt;=50,19800,AP106&lt;=100,18800),"")</f>
        <v>20700</v>
      </c>
      <c r="AQ107" s="1">
        <f>AVERAGE(AJ107:AP107)</f>
        <v>18842.857142857141</v>
      </c>
      <c r="AR107" s="66"/>
      <c r="AS107" s="66"/>
      <c r="AT107" s="66"/>
      <c r="AU107" s="66"/>
    </row>
    <row r="108" spans="13:47">
      <c r="M108" s="126"/>
      <c r="N108" s="121" t="str">
        <f t="shared" si="133"/>
        <v/>
      </c>
      <c r="O108" s="122"/>
      <c r="Q108" s="3"/>
      <c r="W108" s="124"/>
      <c r="X108" s="124"/>
      <c r="AI108" t="s">
        <v>139</v>
      </c>
      <c r="AJ108" s="1">
        <f>IFERROR(AJ106*AJ107,"")</f>
        <v>300000</v>
      </c>
      <c r="AK108" s="1">
        <f t="shared" ref="AK108:AP108" si="157">IFERROR(AK106*AK107,"")</f>
        <v>90000</v>
      </c>
      <c r="AL108" s="1">
        <f t="shared" si="157"/>
        <v>384000</v>
      </c>
      <c r="AM108" s="1">
        <f t="shared" si="157"/>
        <v>210000</v>
      </c>
      <c r="AN108" s="1">
        <f t="shared" si="157"/>
        <v>460000</v>
      </c>
      <c r="AO108" s="1">
        <f t="shared" si="157"/>
        <v>225000</v>
      </c>
      <c r="AP108" s="1">
        <f t="shared" si="157"/>
        <v>310500</v>
      </c>
      <c r="AQ108" s="3">
        <f>SUM(Penjualan[[#This Row],[KATUN]:[SUTRA]])</f>
        <v>1979500</v>
      </c>
      <c r="AR108" s="66">
        <f>AQ108*11%</f>
        <v>217745</v>
      </c>
      <c r="AS108" s="66">
        <f>Penjualan[[#This Row],[JUMLAH]]+Penjualan[[#This Row],[Pajak 11%]]</f>
        <v>2197245</v>
      </c>
      <c r="AT108" s="66">
        <v>27245</v>
      </c>
      <c r="AU108" s="66">
        <f>Penjualan[[#This Row],[Jumlah + Tax]]-Penjualan[[#This Row],[Diskon]]</f>
        <v>2170000</v>
      </c>
    </row>
    <row r="109" spans="13:47">
      <c r="M109" s="126"/>
      <c r="N109" s="121" t="str">
        <f t="shared" si="133"/>
        <v/>
      </c>
      <c r="O109" s="122"/>
      <c r="Q109" s="3"/>
      <c r="W109" s="124"/>
      <c r="X109" s="124"/>
      <c r="AI109" s="65" t="str">
        <f>"Jumlah Beli"&amp;" "&amp;O41</f>
        <v>Jumlah Beli Ghost F</v>
      </c>
      <c r="AJ109" s="41">
        <f>P41/$U$5</f>
        <v>15</v>
      </c>
      <c r="AK109" s="41">
        <f t="shared" ref="AK109:AP109" si="158">Q41/$U$5</f>
        <v>20</v>
      </c>
      <c r="AL109" s="41">
        <f t="shared" si="158"/>
        <v>10</v>
      </c>
      <c r="AM109" s="41">
        <f t="shared" si="158"/>
        <v>5</v>
      </c>
      <c r="AN109" s="41">
        <f t="shared" si="158"/>
        <v>10</v>
      </c>
      <c r="AO109" s="41">
        <f t="shared" si="158"/>
        <v>5</v>
      </c>
      <c r="AP109" s="41">
        <f t="shared" si="158"/>
        <v>15</v>
      </c>
      <c r="AQ109" s="1">
        <f>SUM(AJ109:AP109)</f>
        <v>80</v>
      </c>
      <c r="AR109" s="66"/>
      <c r="AS109" s="66"/>
      <c r="AT109" s="66"/>
      <c r="AU109" s="66"/>
    </row>
    <row r="110" spans="13:47">
      <c r="M110" s="126"/>
      <c r="N110" s="121" t="str">
        <f t="shared" si="133"/>
        <v/>
      </c>
      <c r="O110" s="122"/>
      <c r="Q110" s="3"/>
      <c r="W110" s="124"/>
      <c r="X110" s="124"/>
      <c r="AI110" s="1" t="s">
        <v>138</v>
      </c>
      <c r="AJ110" s="1" cm="1">
        <f t="array" ref="AJ110">IFERROR(_xlfn.IFS(AJ109&lt;=10,17000,AJ109&lt;=30,15000,AJ109&lt;=50,14000,AJ109&lt;=100,13750),"")</f>
        <v>15000</v>
      </c>
      <c r="AK110" s="1" cm="1">
        <f t="array" ref="AK110">IFERROR(_xlfn.IFS(AK109&lt;=10,18000,AK109&lt;=30,17500,AK109&lt;=50,17000,AK109&lt;=100,16750),"")</f>
        <v>17500</v>
      </c>
      <c r="AL110" s="1" cm="1">
        <f t="array" ref="AL110">IFERROR(_xlfn.IFS(AL109&lt;=10,19500,AL109&lt;=30,19200,AL109&lt;=50,19000,AL109&lt;=100,18500),"")</f>
        <v>19500</v>
      </c>
      <c r="AM110" s="1" cm="1">
        <f t="array" ref="AM110">IFERROR(_xlfn.IFS(AM109&lt;=10,21000,AM109&lt;=30,20700,AM109&lt;=50,19800,AM109&lt;=100,18800),"")</f>
        <v>21000</v>
      </c>
      <c r="AN110" s="1" cm="1">
        <f t="array" ref="AN110">IFERROR(_xlfn.IFS(AN109&lt;=10,25000,AN109&lt;=30,23000,AN109&lt;=50,21000,AN109&lt;=100,20000),"")</f>
        <v>25000</v>
      </c>
      <c r="AO110" s="1" cm="1">
        <f t="array" ref="AO110">IFERROR(_xlfn.IFS(AO109&lt;=10,17000,AO109&lt;=30,15000,AO109&lt;=50,14000,AO109&lt;=100,13750),"")</f>
        <v>17000</v>
      </c>
      <c r="AP110" s="1" cm="1">
        <f t="array" ref="AP110">IFERROR(_xlfn.IFS(AP109&lt;=10,21000,AP109&lt;=30,20700,AP109&lt;=50,19800,AP109&lt;=100,18800),"")</f>
        <v>20700</v>
      </c>
      <c r="AQ110" s="1">
        <v>1687.2727272727275</v>
      </c>
      <c r="AR110" s="66"/>
      <c r="AS110" s="66"/>
      <c r="AT110" s="66"/>
      <c r="AU110" s="66"/>
    </row>
    <row r="111" spans="13:47">
      <c r="M111" s="126"/>
      <c r="N111" s="121" t="str">
        <f t="shared" si="133"/>
        <v/>
      </c>
      <c r="O111" s="122"/>
      <c r="Q111" s="3"/>
      <c r="W111" s="124"/>
      <c r="X111" s="124"/>
      <c r="AI111" t="s">
        <v>139</v>
      </c>
      <c r="AJ111" s="1">
        <f>IFERROR(AJ109*AJ110,"")</f>
        <v>225000</v>
      </c>
      <c r="AK111" s="1">
        <f t="shared" ref="AK111:AP111" si="159">IFERROR(AK109*AK110,"")</f>
        <v>350000</v>
      </c>
      <c r="AL111" s="1">
        <f t="shared" si="159"/>
        <v>195000</v>
      </c>
      <c r="AM111" s="1">
        <f t="shared" si="159"/>
        <v>105000</v>
      </c>
      <c r="AN111" s="1">
        <f t="shared" si="159"/>
        <v>250000</v>
      </c>
      <c r="AO111" s="1">
        <f t="shared" si="159"/>
        <v>85000</v>
      </c>
      <c r="AP111" s="1">
        <f t="shared" si="159"/>
        <v>310500</v>
      </c>
      <c r="AQ111" s="3">
        <f>SUM(Penjualan[[#This Row],[KATUN]:[SUTRA]])</f>
        <v>1520500</v>
      </c>
      <c r="AR111" s="66">
        <f>AQ111*11%</f>
        <v>167255</v>
      </c>
      <c r="AS111" s="66">
        <f>Penjualan[[#This Row],[JUMLAH]]+Penjualan[[#This Row],[Pajak 11%]]</f>
        <v>1687755</v>
      </c>
      <c r="AT111" s="66">
        <v>27755</v>
      </c>
      <c r="AU111" s="66">
        <f>Penjualan[[#This Row],[Jumlah + Tax]]-Penjualan[[#This Row],[Diskon]]</f>
        <v>1660000</v>
      </c>
    </row>
    <row r="112" spans="13:47">
      <c r="M112" s="126"/>
      <c r="N112" s="121" t="str">
        <f t="shared" si="133"/>
        <v/>
      </c>
      <c r="O112" s="122"/>
      <c r="Q112" s="3"/>
      <c r="W112" s="124"/>
      <c r="X112" s="124"/>
      <c r="AI112" s="65" t="str">
        <f>"Jumlah Beli"&amp;" "&amp;O42</f>
        <v>Jumlah Beli Ghost G</v>
      </c>
      <c r="AJ112" s="42">
        <f>P42/$U$5</f>
        <v>15</v>
      </c>
      <c r="AK112" s="42">
        <f t="shared" ref="AK112:AP112" si="160">Q42/$U$5</f>
        <v>15</v>
      </c>
      <c r="AL112" s="42">
        <f t="shared" si="160"/>
        <v>15</v>
      </c>
      <c r="AM112" s="42">
        <f t="shared" si="160"/>
        <v>5</v>
      </c>
      <c r="AN112" s="42">
        <f t="shared" si="160"/>
        <v>15</v>
      </c>
      <c r="AO112" s="42">
        <f t="shared" si="160"/>
        <v>5</v>
      </c>
      <c r="AP112" s="42">
        <f t="shared" si="160"/>
        <v>15</v>
      </c>
      <c r="AQ112" s="1">
        <f>SUM(AJ112:AP112)</f>
        <v>85</v>
      </c>
      <c r="AR112" s="66"/>
      <c r="AS112" s="66"/>
      <c r="AT112" s="66"/>
      <c r="AU112" s="66"/>
    </row>
    <row r="113" spans="13:47">
      <c r="M113" s="126"/>
      <c r="N113" s="121" t="str">
        <f t="shared" si="133"/>
        <v/>
      </c>
      <c r="O113" s="122"/>
      <c r="Q113" s="3"/>
      <c r="W113" s="124"/>
      <c r="X113" s="124"/>
      <c r="AI113" s="1" t="s">
        <v>138</v>
      </c>
      <c r="AJ113" s="1" cm="1">
        <f t="array" ref="AJ113">IFERROR(_xlfn.IFS(AJ112&lt;=10,17000,AJ112&lt;=30,15000,AJ112&lt;=50,14000,AJ112&lt;=100,13750),"")</f>
        <v>15000</v>
      </c>
      <c r="AK113" s="1" cm="1">
        <f t="array" ref="AK113">IFERROR(_xlfn.IFS(AK112&lt;=10,18000,AK112&lt;=30,17500,AK112&lt;=50,17000,AK112&lt;=100,16750),"")</f>
        <v>17500</v>
      </c>
      <c r="AL113" s="1" cm="1">
        <f t="array" ref="AL113">IFERROR(_xlfn.IFS(AL112&lt;=10,19500,AL112&lt;=30,19200,AL112&lt;=50,19000,AL112&lt;=100,18500),"")</f>
        <v>19200</v>
      </c>
      <c r="AM113" s="1" cm="1">
        <f t="array" ref="AM113">IFERROR(_xlfn.IFS(AM112&lt;=10,21000,AM112&lt;=30,20700,AM112&lt;=50,19800,AM112&lt;=100,18800),"")</f>
        <v>21000</v>
      </c>
      <c r="AN113" s="1" cm="1">
        <f t="array" ref="AN113">IFERROR(_xlfn.IFS(AN112&lt;=10,25000,AN112&lt;=30,23000,AN112&lt;=50,21000,AN112&lt;=100,20000),"")</f>
        <v>23000</v>
      </c>
      <c r="AO113" s="1" cm="1">
        <f t="array" ref="AO113">IFERROR(_xlfn.IFS(AO112&lt;=10,17000,AO112&lt;=30,15000,AO112&lt;=50,14000,AO112&lt;=100,13750),"")</f>
        <v>17000</v>
      </c>
      <c r="AP113" s="1" cm="1">
        <f t="array" ref="AP113">IFERROR(_xlfn.IFS(AP112&lt;=10,21000,AP112&lt;=30,20700,AP112&lt;=50,19800,AP112&lt;=100,18800),"")</f>
        <v>20700</v>
      </c>
      <c r="AQ113" s="1">
        <v>1687.2727272727275</v>
      </c>
      <c r="AR113" s="66"/>
      <c r="AS113" s="66"/>
      <c r="AT113" s="66"/>
      <c r="AU113" s="66"/>
    </row>
    <row r="114" spans="13:47">
      <c r="M114" s="126"/>
      <c r="N114" s="121" t="str">
        <f t="shared" si="133"/>
        <v/>
      </c>
      <c r="O114" s="122"/>
      <c r="Q114" s="3"/>
      <c r="W114" s="124"/>
      <c r="X114" s="124"/>
      <c r="AI114" t="s">
        <v>139</v>
      </c>
      <c r="AJ114" s="1">
        <f>IFERROR(AJ112*AJ113,"")</f>
        <v>225000</v>
      </c>
      <c r="AK114" s="1">
        <f t="shared" ref="AK114:AP114" si="161">IFERROR(AK112*AK113,"")</f>
        <v>262500</v>
      </c>
      <c r="AL114" s="1">
        <f t="shared" si="161"/>
        <v>288000</v>
      </c>
      <c r="AM114" s="1">
        <f t="shared" si="161"/>
        <v>105000</v>
      </c>
      <c r="AN114" s="1">
        <f t="shared" si="161"/>
        <v>345000</v>
      </c>
      <c r="AO114" s="1">
        <f t="shared" si="161"/>
        <v>85000</v>
      </c>
      <c r="AP114" s="1">
        <f t="shared" si="161"/>
        <v>310500</v>
      </c>
      <c r="AQ114" s="3">
        <f>SUM(Penjualan[[#This Row],[KATUN]:[SUTRA]])</f>
        <v>1621000</v>
      </c>
      <c r="AR114" s="66">
        <f>AQ114*11%</f>
        <v>178310</v>
      </c>
      <c r="AS114" s="66">
        <f>Penjualan[[#This Row],[JUMLAH]]+Penjualan[[#This Row],[Pajak 11%]]</f>
        <v>1799310</v>
      </c>
      <c r="AT114" s="66">
        <v>29310</v>
      </c>
      <c r="AU114" s="66">
        <f>Penjualan[[#This Row],[Jumlah + Tax]]-Penjualan[[#This Row],[Diskon]]</f>
        <v>1770000</v>
      </c>
    </row>
    <row r="115" spans="13:47">
      <c r="M115" s="126"/>
      <c r="N115" s="121" t="str">
        <f t="shared" si="133"/>
        <v/>
      </c>
      <c r="O115" s="122"/>
      <c r="Q115" s="3"/>
      <c r="W115" s="124"/>
      <c r="X115" s="124"/>
      <c r="AH115" s="125">
        <v>46086</v>
      </c>
      <c r="AI115" s="65" t="str">
        <f>"Jumlah Beli"&amp;" "&amp;O43</f>
        <v>Jumlah Beli Ghost A</v>
      </c>
      <c r="AJ115" s="42">
        <v>8</v>
      </c>
      <c r="AK115" s="42">
        <v>0</v>
      </c>
      <c r="AL115" s="42">
        <v>9</v>
      </c>
      <c r="AM115" s="42">
        <v>10</v>
      </c>
      <c r="AN115" s="42">
        <v>9</v>
      </c>
      <c r="AO115" s="42">
        <v>15</v>
      </c>
      <c r="AP115" s="42">
        <v>5</v>
      </c>
      <c r="AQ115" s="1">
        <f>SUM(AJ115:AP115)</f>
        <v>56</v>
      </c>
      <c r="AR115" s="66"/>
      <c r="AS115" s="66"/>
      <c r="AT115" s="66"/>
      <c r="AU115" s="66"/>
    </row>
    <row r="116" spans="13:47">
      <c r="M116" s="126"/>
      <c r="N116" s="121" t="str">
        <f t="shared" si="133"/>
        <v/>
      </c>
      <c r="O116" s="122"/>
      <c r="Q116" s="3"/>
      <c r="W116" s="124"/>
      <c r="X116" s="124"/>
      <c r="AI116" s="1" t="s">
        <v>138</v>
      </c>
      <c r="AJ116" s="1" cm="1">
        <f t="array" ref="AJ116">IFERROR(_xlfn.IFS(AJ115&lt;=10,17000,AJ115&lt;=30,15000,AJ115&lt;=50,14000,AJ115&lt;=100,13750),"")</f>
        <v>17000</v>
      </c>
      <c r="AK116" s="1" cm="1">
        <f t="array" ref="AK116">IFERROR(_xlfn.IFS(AK115&lt;=10,18000,AK115&lt;=30,17500,AK115&lt;=50,17000,AK115&lt;=100,16750),"")</f>
        <v>18000</v>
      </c>
      <c r="AL116" s="1" cm="1">
        <f t="array" ref="AL116">IFERROR(_xlfn.IFS(AL115&lt;=10,19500,AL115&lt;=30,19200,AL115&lt;=50,19000,AL115&lt;=100,18500),"")</f>
        <v>19500</v>
      </c>
      <c r="AM116" s="1" cm="1">
        <f t="array" ref="AM116">IFERROR(_xlfn.IFS(AM115&lt;=10,21000,AM115&lt;=30,20700,AM115&lt;=50,19800,AM115&lt;=100,18800),"")</f>
        <v>21000</v>
      </c>
      <c r="AN116" s="1" cm="1">
        <f t="array" ref="AN116">IFERROR(_xlfn.IFS(AN115&lt;=10,25000,AN115&lt;=30,23000,AN115&lt;=50,21000,AN115&lt;=100,20000),"")</f>
        <v>25000</v>
      </c>
      <c r="AO116" s="1" cm="1">
        <f t="array" ref="AO116">IFERROR(_xlfn.IFS(AO115&lt;=10,17000,AO115&lt;=30,15000,AO115&lt;=50,14000,AO115&lt;=100,13750),"")</f>
        <v>15000</v>
      </c>
      <c r="AP116" s="1" cm="1">
        <f t="array" ref="AP116">IFERROR(_xlfn.IFS(AP115&lt;=10,21000,AP115&lt;=30,20700,AP115&lt;=50,19800,AP115&lt;=100,18800),"")</f>
        <v>21000</v>
      </c>
      <c r="AQ116" s="1">
        <f>AVERAGE(AJ116:AP116)</f>
        <v>19500</v>
      </c>
      <c r="AR116" s="66"/>
      <c r="AS116" s="66"/>
      <c r="AT116" s="66"/>
      <c r="AU116" s="66"/>
    </row>
    <row r="117" spans="13:47">
      <c r="M117" s="126"/>
      <c r="N117" s="121" t="str">
        <f t="shared" si="133"/>
        <v/>
      </c>
      <c r="O117" s="122"/>
      <c r="Q117" s="3"/>
      <c r="W117" s="124"/>
      <c r="X117" s="124"/>
      <c r="AI117" t="s">
        <v>139</v>
      </c>
      <c r="AJ117" s="1">
        <f>IFERROR(AJ115*AJ116,"")</f>
        <v>136000</v>
      </c>
      <c r="AK117" s="1">
        <f t="shared" ref="AK117:AP117" si="162">IFERROR(AK115*AK116,"")</f>
        <v>0</v>
      </c>
      <c r="AL117" s="1">
        <f t="shared" si="162"/>
        <v>175500</v>
      </c>
      <c r="AM117" s="1">
        <f t="shared" si="162"/>
        <v>210000</v>
      </c>
      <c r="AN117" s="1">
        <f t="shared" si="162"/>
        <v>225000</v>
      </c>
      <c r="AO117" s="1">
        <f t="shared" si="162"/>
        <v>225000</v>
      </c>
      <c r="AP117" s="1">
        <f t="shared" si="162"/>
        <v>105000</v>
      </c>
      <c r="AQ117" s="3">
        <f>SUM(Penjualan[[#This Row],[KATUN]:[SUTRA]])</f>
        <v>1076500</v>
      </c>
      <c r="AR117" s="66">
        <f>AQ117*11%</f>
        <v>118415</v>
      </c>
      <c r="AS117" s="66">
        <f>Penjualan[[#This Row],[JUMLAH]]+Penjualan[[#This Row],[Pajak 11%]]</f>
        <v>1194915</v>
      </c>
      <c r="AT117" s="66">
        <v>24915</v>
      </c>
      <c r="AU117" s="66">
        <f>Penjualan[[#This Row],[Jumlah + Tax]]-Penjualan[[#This Row],[Diskon]]</f>
        <v>1170000</v>
      </c>
    </row>
    <row r="118" spans="13:47">
      <c r="M118" s="126"/>
      <c r="N118" s="121" t="str">
        <f t="shared" si="133"/>
        <v/>
      </c>
      <c r="O118" s="122"/>
      <c r="Q118" s="3"/>
      <c r="W118" s="124"/>
      <c r="X118" s="124"/>
      <c r="AI118" s="65" t="str">
        <f>"Jumlah Beli"&amp;" "&amp;O44</f>
        <v>Jumlah Beli Ghost B</v>
      </c>
      <c r="AJ118" s="41">
        <f t="shared" ref="AJ118:AP118" si="163">(P44)/2</f>
        <v>10</v>
      </c>
      <c r="AK118" s="41">
        <f t="shared" si="163"/>
        <v>0</v>
      </c>
      <c r="AL118" s="41">
        <f t="shared" si="163"/>
        <v>10</v>
      </c>
      <c r="AM118" s="41">
        <f t="shared" si="163"/>
        <v>15</v>
      </c>
      <c r="AN118" s="41">
        <f t="shared" si="163"/>
        <v>10</v>
      </c>
      <c r="AO118" s="41">
        <f t="shared" si="163"/>
        <v>10</v>
      </c>
      <c r="AP118" s="41">
        <f t="shared" si="163"/>
        <v>10</v>
      </c>
      <c r="AQ118" s="1">
        <f>SUM(AJ118:AP118)</f>
        <v>65</v>
      </c>
      <c r="AR118" s="66"/>
      <c r="AS118" s="66"/>
      <c r="AT118" s="66"/>
      <c r="AU118" s="66"/>
    </row>
    <row r="119" spans="13:47">
      <c r="M119" s="126"/>
      <c r="N119" s="121" t="str">
        <f t="shared" si="133"/>
        <v/>
      </c>
      <c r="O119" s="122"/>
      <c r="Q119" s="3"/>
      <c r="W119" s="124"/>
      <c r="X119" s="124"/>
      <c r="AI119" s="1" t="s">
        <v>138</v>
      </c>
      <c r="AJ119" s="1" cm="1">
        <f t="array" ref="AJ119">IFERROR(_xlfn.IFS(AJ118&lt;=10,17000,AJ118&lt;=30,15000,AJ118&lt;=50,14000,AJ118&lt;=100,13750),"")</f>
        <v>17000</v>
      </c>
      <c r="AK119" s="1" cm="1">
        <f t="array" ref="AK119">IFERROR(_xlfn.IFS(AK118&lt;=10,18000,AK118&lt;=30,17500,AK118&lt;=50,17000,AK118&lt;=100,16750),"")</f>
        <v>18000</v>
      </c>
      <c r="AL119" s="1" cm="1">
        <f t="array" ref="AL119">IFERROR(_xlfn.IFS(AL118&lt;=10,19500,AL118&lt;=30,19200,AL118&lt;=50,19000,AL118&lt;=100,18500),"")</f>
        <v>19500</v>
      </c>
      <c r="AM119" s="1" cm="1">
        <f t="array" ref="AM119">IFERROR(_xlfn.IFS(AM118&lt;=10,21000,AM118&lt;=30,20700,AM118&lt;=50,19800,AM118&lt;=100,18800),"")</f>
        <v>20700</v>
      </c>
      <c r="AN119" s="1" cm="1">
        <f t="array" ref="AN119">IFERROR(_xlfn.IFS(AN118&lt;=10,25000,AN118&lt;=30,23000,AN118&lt;=50,21000,AN118&lt;=100,20000),"")</f>
        <v>25000</v>
      </c>
      <c r="AO119" s="1" cm="1">
        <f t="array" ref="AO119">IFERROR(_xlfn.IFS(AO118&lt;=10,17000,AO118&lt;=30,15000,AO118&lt;=50,14000,AO118&lt;=100,13750),"")</f>
        <v>17000</v>
      </c>
      <c r="AP119" s="1" cm="1">
        <f t="array" ref="AP119">IFERROR(_xlfn.IFS(AP118&lt;=10,21000,AP118&lt;=30,20700,AP118&lt;=50,19800,AP118&lt;=100,18800),"")</f>
        <v>21000</v>
      </c>
      <c r="AQ119" s="1">
        <f>AVERAGE(AJ119:AP119)</f>
        <v>19742.857142857141</v>
      </c>
      <c r="AR119" s="66"/>
      <c r="AS119" s="66"/>
      <c r="AT119" s="66"/>
      <c r="AU119" s="66"/>
    </row>
    <row r="120" spans="13:47">
      <c r="M120" s="126"/>
      <c r="N120" s="121" t="str">
        <f t="shared" si="133"/>
        <v/>
      </c>
      <c r="O120" s="122"/>
      <c r="Q120" s="3"/>
      <c r="W120" s="124"/>
      <c r="X120" s="124"/>
      <c r="AI120" t="s">
        <v>139</v>
      </c>
      <c r="AJ120" s="1">
        <f>IFERROR(AJ118*AJ119,"")</f>
        <v>170000</v>
      </c>
      <c r="AK120" s="1">
        <f t="shared" ref="AK120:AP120" si="164">IFERROR(AK118*AK119,"")</f>
        <v>0</v>
      </c>
      <c r="AL120" s="1">
        <f t="shared" si="164"/>
        <v>195000</v>
      </c>
      <c r="AM120" s="1">
        <f t="shared" si="164"/>
        <v>310500</v>
      </c>
      <c r="AN120" s="1">
        <f t="shared" si="164"/>
        <v>250000</v>
      </c>
      <c r="AO120" s="1">
        <f t="shared" si="164"/>
        <v>170000</v>
      </c>
      <c r="AP120" s="1">
        <f t="shared" si="164"/>
        <v>210000</v>
      </c>
      <c r="AQ120" s="3">
        <f>SUM(Penjualan[[#This Row],[KATUN]:[SUTRA]])</f>
        <v>1305500</v>
      </c>
      <c r="AR120" s="66">
        <f>AQ120*11%</f>
        <v>143605</v>
      </c>
      <c r="AS120" s="66">
        <f>Penjualan[[#This Row],[JUMLAH]]+Penjualan[[#This Row],[Pajak 11%]]</f>
        <v>1449105</v>
      </c>
      <c r="AT120" s="66">
        <v>29105</v>
      </c>
      <c r="AU120" s="66">
        <f>Penjualan[[#This Row],[Jumlah + Tax]]-Penjualan[[#This Row],[Diskon]]</f>
        <v>1420000</v>
      </c>
    </row>
    <row r="121" spans="13:47">
      <c r="M121" s="126"/>
      <c r="N121" s="121" t="str">
        <f t="shared" si="133"/>
        <v/>
      </c>
      <c r="O121" s="122"/>
      <c r="Q121" s="3"/>
      <c r="W121" s="124"/>
      <c r="X121" s="124"/>
      <c r="AI121" s="65" t="str">
        <f>"Jumlah Beli"&amp;" "&amp;O45</f>
        <v>Jumlah Beli Ghost C</v>
      </c>
      <c r="AJ121" s="41">
        <f>P45/2</f>
        <v>15</v>
      </c>
      <c r="AK121" s="41">
        <f t="shared" ref="AK121:AP121" si="165">Q45/2</f>
        <v>20</v>
      </c>
      <c r="AL121" s="41">
        <f t="shared" si="165"/>
        <v>10</v>
      </c>
      <c r="AM121" s="41">
        <f t="shared" si="165"/>
        <v>20</v>
      </c>
      <c r="AN121" s="41">
        <f t="shared" si="165"/>
        <v>0</v>
      </c>
      <c r="AO121" s="41">
        <f t="shared" si="165"/>
        <v>10</v>
      </c>
      <c r="AP121" s="41">
        <f t="shared" si="165"/>
        <v>0</v>
      </c>
      <c r="AQ121" s="1">
        <f>SUM(AJ121:AP121)</f>
        <v>75</v>
      </c>
      <c r="AR121" s="66"/>
      <c r="AS121" s="66"/>
      <c r="AT121" s="66"/>
      <c r="AU121" s="66"/>
    </row>
    <row r="122" spans="13:47">
      <c r="M122" s="126"/>
      <c r="N122" s="121" t="str">
        <f t="shared" si="133"/>
        <v/>
      </c>
      <c r="O122" s="122"/>
      <c r="Q122" s="3"/>
      <c r="W122" s="124"/>
      <c r="X122" s="124"/>
      <c r="AI122" s="1" t="s">
        <v>138</v>
      </c>
      <c r="AJ122" s="1" cm="1">
        <f t="array" ref="AJ122">IFERROR(_xlfn.IFS(AJ121&lt;=10,17000,AJ121&lt;=30,15000,AJ121&lt;=50,14000,AJ121&lt;=100,13750),"")</f>
        <v>15000</v>
      </c>
      <c r="AK122" s="1" cm="1">
        <f t="array" ref="AK122">IFERROR(_xlfn.IFS(AK121&lt;=10,18000,AK121&lt;=30,17500,AK121&lt;=50,17000,AK121&lt;=100,16750),"")</f>
        <v>17500</v>
      </c>
      <c r="AL122" s="1" cm="1">
        <f t="array" ref="AL122">IFERROR(_xlfn.IFS(AL121&lt;=10,19500,AL121&lt;=30,19200,AL121&lt;=50,19000,AL121&lt;=100,18500),"")</f>
        <v>19500</v>
      </c>
      <c r="AM122" s="1" cm="1">
        <f t="array" ref="AM122">IFERROR(_xlfn.IFS(AM121&lt;=10,21000,AM121&lt;=30,20700,AM121&lt;=50,19800,AM121&lt;=100,18800),"")</f>
        <v>20700</v>
      </c>
      <c r="AN122" s="1" cm="1">
        <f t="array" ref="AN122">IFERROR(_xlfn.IFS(AN121&lt;=10,25000,AN121&lt;=30,23000,AN121&lt;=50,21000,AN121&lt;=100,20000),"")</f>
        <v>25000</v>
      </c>
      <c r="AO122" s="1" cm="1">
        <f t="array" ref="AO122">IFERROR(_xlfn.IFS(AO121&lt;=10,17000,AO121&lt;=30,15000,AO121&lt;=50,14000,AO121&lt;=100,13750),"")</f>
        <v>17000</v>
      </c>
      <c r="AP122" s="1" cm="1">
        <f t="array" ref="AP122">IFERROR(_xlfn.IFS(AP121&lt;=10,21000,AP121&lt;=30,20700,AP121&lt;=50,19800,AP121&lt;=100,18800),"")</f>
        <v>21000</v>
      </c>
      <c r="AQ122" s="1">
        <f>AVERAGE(AJ122:AP122)</f>
        <v>19385.714285714286</v>
      </c>
      <c r="AR122" s="66"/>
      <c r="AS122" s="66"/>
      <c r="AT122" s="66"/>
      <c r="AU122" s="66"/>
    </row>
    <row r="123" spans="13:47">
      <c r="M123" s="126"/>
      <c r="N123" s="121" t="str">
        <f t="shared" si="133"/>
        <v/>
      </c>
      <c r="O123" s="122"/>
      <c r="Q123" s="3"/>
      <c r="W123" s="124"/>
      <c r="X123" s="124"/>
      <c r="AI123" t="s">
        <v>139</v>
      </c>
      <c r="AJ123" s="1">
        <f>IFERROR(AJ121*AJ122,"")</f>
        <v>225000</v>
      </c>
      <c r="AK123" s="1">
        <f t="shared" ref="AK123:AP123" si="166">IFERROR(AK121*AK122,"")</f>
        <v>350000</v>
      </c>
      <c r="AL123" s="1">
        <f t="shared" si="166"/>
        <v>195000</v>
      </c>
      <c r="AM123" s="1">
        <f t="shared" si="166"/>
        <v>414000</v>
      </c>
      <c r="AN123" s="1">
        <f t="shared" si="166"/>
        <v>0</v>
      </c>
      <c r="AO123" s="1">
        <f t="shared" si="166"/>
        <v>170000</v>
      </c>
      <c r="AP123" s="1">
        <f t="shared" si="166"/>
        <v>0</v>
      </c>
      <c r="AQ123" s="3">
        <f>SUM(Penjualan[[#This Row],[KATUN]:[SUTRA]])</f>
        <v>1354000</v>
      </c>
      <c r="AR123" s="66">
        <f>AQ123*11%</f>
        <v>148940</v>
      </c>
      <c r="AS123" s="66">
        <f>Penjualan[[#This Row],[JUMLAH]]+Penjualan[[#This Row],[Pajak 11%]]</f>
        <v>1502940</v>
      </c>
      <c r="AT123" s="66">
        <v>22940</v>
      </c>
      <c r="AU123" s="66">
        <f>Penjualan[[#This Row],[Jumlah + Tax]]-Penjualan[[#This Row],[Diskon]]</f>
        <v>1480000</v>
      </c>
    </row>
    <row r="124" spans="13:47">
      <c r="M124" s="126"/>
      <c r="N124" s="121" t="str">
        <f t="shared" si="133"/>
        <v/>
      </c>
      <c r="O124" s="122"/>
      <c r="Q124" s="3"/>
      <c r="W124" s="124"/>
      <c r="X124" s="124"/>
      <c r="AI124" s="65" t="str">
        <f>"Jumlah Beli"&amp;" "&amp;O46</f>
        <v>Jumlah Beli Ghost D</v>
      </c>
      <c r="AJ124" s="1">
        <f>P46/2</f>
        <v>10</v>
      </c>
      <c r="AK124" s="1">
        <f t="shared" ref="AK124:AP124" si="167">Q46/2</f>
        <v>0</v>
      </c>
      <c r="AL124" s="1">
        <f t="shared" si="167"/>
        <v>10</v>
      </c>
      <c r="AM124" s="1">
        <f t="shared" si="167"/>
        <v>25</v>
      </c>
      <c r="AN124" s="1">
        <f t="shared" si="167"/>
        <v>5</v>
      </c>
      <c r="AO124" s="1">
        <f t="shared" si="167"/>
        <v>0</v>
      </c>
      <c r="AP124" s="1">
        <f t="shared" si="167"/>
        <v>5</v>
      </c>
      <c r="AQ124" s="1">
        <f>SUM(AJ124:AP124)</f>
        <v>55</v>
      </c>
      <c r="AR124" s="66"/>
      <c r="AS124" s="66"/>
      <c r="AT124" s="66"/>
      <c r="AU124" s="66"/>
    </row>
    <row r="125" spans="13:47">
      <c r="M125" s="126"/>
      <c r="N125" s="121" t="str">
        <f t="shared" si="133"/>
        <v/>
      </c>
      <c r="O125" s="122"/>
      <c r="Q125" s="3"/>
      <c r="W125" s="124"/>
      <c r="X125" s="124"/>
      <c r="AI125" s="1" t="s">
        <v>138</v>
      </c>
      <c r="AJ125" s="1" cm="1">
        <f t="array" ref="AJ125">IFERROR(_xlfn.IFS(AJ124&lt;=10,17000,AJ124&lt;=30,15000,AJ124&lt;=50,14000,AJ124&lt;=100,13750),"")</f>
        <v>17000</v>
      </c>
      <c r="AK125" s="1" cm="1">
        <f t="array" ref="AK125">IFERROR(_xlfn.IFS(AK124&lt;=10,18000,AK124&lt;=30,17500,AK124&lt;=50,17000,AK124&lt;=100,16750),"")</f>
        <v>18000</v>
      </c>
      <c r="AL125" s="1" cm="1">
        <f t="array" ref="AL125">IFERROR(_xlfn.IFS(AL124&lt;=10,19500,AL124&lt;=30,19200,AL124&lt;=50,19000,AL124&lt;=100,18500),"")</f>
        <v>19500</v>
      </c>
      <c r="AM125" s="1" cm="1">
        <f t="array" ref="AM125">IFERROR(_xlfn.IFS(AM124&lt;=10,21000,AM124&lt;=30,20700,AM124&lt;=50,19800,AM124&lt;=100,18800),"")</f>
        <v>20700</v>
      </c>
      <c r="AN125" s="1" cm="1">
        <f t="array" ref="AN125">IFERROR(_xlfn.IFS(AN124&lt;=10,25000,AN124&lt;=30,23000,AN124&lt;=50,21000,AN124&lt;=100,20000),"")</f>
        <v>25000</v>
      </c>
      <c r="AO125" s="1" cm="1">
        <f t="array" ref="AO125">IFERROR(_xlfn.IFS(AO124&lt;=10,17000,AO124&lt;=30,15000,AO124&lt;=50,14000,AO124&lt;=100,13750),"")</f>
        <v>17000</v>
      </c>
      <c r="AP125" s="1" cm="1">
        <f t="array" ref="AP125">IFERROR(_xlfn.IFS(AP124&lt;=10,21000,AP124&lt;=30,20700,AP124&lt;=50,19800,AP124&lt;=100,18800),"")</f>
        <v>21000</v>
      </c>
      <c r="AQ125" s="1">
        <f>AVERAGE(AJ125:AP125)</f>
        <v>19742.857142857141</v>
      </c>
      <c r="AR125" s="66"/>
      <c r="AS125" s="66"/>
      <c r="AT125" s="66"/>
      <c r="AU125" s="66"/>
    </row>
    <row r="126" spans="13:47">
      <c r="M126" s="126"/>
      <c r="N126" s="121" t="str">
        <f t="shared" si="133"/>
        <v/>
      </c>
      <c r="O126" s="122"/>
      <c r="Q126" s="3"/>
      <c r="W126" s="124"/>
      <c r="X126" s="124"/>
      <c r="AI126" t="s">
        <v>139</v>
      </c>
      <c r="AJ126" s="1">
        <f>IFERROR(AJ124*AJ125,"")</f>
        <v>170000</v>
      </c>
      <c r="AK126" s="1">
        <f t="shared" ref="AK126:AP126" si="168">IFERROR(AK124*AK125,"")</f>
        <v>0</v>
      </c>
      <c r="AL126" s="1">
        <f t="shared" si="168"/>
        <v>195000</v>
      </c>
      <c r="AM126" s="1">
        <f t="shared" si="168"/>
        <v>517500</v>
      </c>
      <c r="AN126" s="1">
        <f t="shared" si="168"/>
        <v>125000</v>
      </c>
      <c r="AO126" s="1">
        <f t="shared" si="168"/>
        <v>0</v>
      </c>
      <c r="AP126" s="1">
        <f t="shared" si="168"/>
        <v>105000</v>
      </c>
      <c r="AQ126" s="3">
        <f>SUM(Penjualan[[#This Row],[KATUN]:[SUTRA]])</f>
        <v>1112500</v>
      </c>
      <c r="AR126" s="66">
        <f>AQ126*11%</f>
        <v>122375</v>
      </c>
      <c r="AS126" s="66">
        <f>Penjualan[[#This Row],[JUMLAH]]+Penjualan[[#This Row],[Pajak 11%]]</f>
        <v>1234875</v>
      </c>
      <c r="AT126" s="66">
        <v>24875</v>
      </c>
      <c r="AU126" s="66">
        <f>Penjualan[[#This Row],[Jumlah + Tax]]-Penjualan[[#This Row],[Diskon]]</f>
        <v>1210000</v>
      </c>
    </row>
    <row r="127" spans="13:47">
      <c r="M127" s="126"/>
      <c r="N127" s="121" t="str">
        <f t="shared" si="133"/>
        <v/>
      </c>
      <c r="O127" s="122"/>
      <c r="Q127" s="3"/>
      <c r="W127" s="124"/>
      <c r="X127" s="124"/>
      <c r="AI127" s="65" t="str">
        <f>"Jumlah Beli"&amp;" "&amp;O47</f>
        <v>Jumlah Beli Ghost E</v>
      </c>
      <c r="AJ127" s="1">
        <f>P47/2</f>
        <v>10</v>
      </c>
      <c r="AK127" s="1">
        <f t="shared" ref="AK127:AP127" si="169">Q47/2</f>
        <v>20</v>
      </c>
      <c r="AL127" s="1">
        <f t="shared" si="169"/>
        <v>0</v>
      </c>
      <c r="AM127" s="1">
        <f t="shared" si="169"/>
        <v>9</v>
      </c>
      <c r="AN127" s="1">
        <f t="shared" si="169"/>
        <v>0</v>
      </c>
      <c r="AO127" s="1">
        <f t="shared" si="169"/>
        <v>17</v>
      </c>
      <c r="AP127" s="1">
        <f t="shared" si="169"/>
        <v>0</v>
      </c>
      <c r="AQ127" s="1">
        <f>SUM(AJ127:AP127)</f>
        <v>56</v>
      </c>
      <c r="AR127" s="66"/>
      <c r="AS127" s="66"/>
      <c r="AT127" s="66"/>
      <c r="AU127" s="66"/>
    </row>
    <row r="128" spans="13:47">
      <c r="M128" s="126"/>
      <c r="N128" s="121" t="str">
        <f t="shared" si="133"/>
        <v/>
      </c>
      <c r="O128" s="122"/>
      <c r="Q128" s="3"/>
      <c r="W128" s="124"/>
      <c r="X128" s="124"/>
      <c r="AI128" s="1" t="s">
        <v>138</v>
      </c>
      <c r="AJ128" s="1" cm="1">
        <f t="array" ref="AJ128">IFERROR(_xlfn.IFS(AJ127&lt;=10,17000,AJ127&lt;=30,15000,AJ127&lt;=50,14000,AJ127&lt;=100,13750),"")</f>
        <v>17000</v>
      </c>
      <c r="AK128" s="1" cm="1">
        <f t="array" ref="AK128">IFERROR(_xlfn.IFS(AK127&lt;=10,18000,AK127&lt;=30,17500,AK127&lt;=50,17000,AK127&lt;=100,16750),"")</f>
        <v>17500</v>
      </c>
      <c r="AL128" s="1" cm="1">
        <f t="array" ref="AL128">IFERROR(_xlfn.IFS(AL127&lt;=10,19500,AL127&lt;=30,19200,AL127&lt;=50,19000,AL127&lt;=100,18500),"")</f>
        <v>19500</v>
      </c>
      <c r="AM128" s="1" cm="1">
        <f t="array" ref="AM128">IFERROR(_xlfn.IFS(AM127&lt;=10,21000,AM127&lt;=30,20700,AM127&lt;=50,19800,AM127&lt;=100,18800),"")</f>
        <v>21000</v>
      </c>
      <c r="AN128" s="1" cm="1">
        <f t="array" ref="AN128">IFERROR(_xlfn.IFS(AN127&lt;=10,25000,AN127&lt;=30,23000,AN127&lt;=50,21000,AN127&lt;=100,20000),"")</f>
        <v>25000</v>
      </c>
      <c r="AO128" s="1" cm="1">
        <f t="array" ref="AO128">IFERROR(_xlfn.IFS(AO127&lt;=10,17000,AO127&lt;=30,15000,AO127&lt;=50,14000,AO127&lt;=100,13750),"")</f>
        <v>15000</v>
      </c>
      <c r="AP128" s="1" cm="1">
        <f t="array" ref="AP128">IFERROR(_xlfn.IFS(AP127&lt;=10,21000,AP127&lt;=30,20700,AP127&lt;=50,19800,AP127&lt;=100,18800),"")</f>
        <v>21000</v>
      </c>
      <c r="AQ128" s="1">
        <f>AVERAGE(AJ128:AP128)</f>
        <v>19428.571428571428</v>
      </c>
      <c r="AR128" s="66"/>
      <c r="AS128" s="66"/>
      <c r="AT128" s="66"/>
      <c r="AU128" s="66"/>
    </row>
    <row r="129" spans="13:47">
      <c r="M129" s="126"/>
      <c r="N129" s="121" t="str">
        <f t="shared" si="133"/>
        <v/>
      </c>
      <c r="O129" s="122"/>
      <c r="Q129" s="3"/>
      <c r="W129" s="124"/>
      <c r="X129" s="124"/>
      <c r="AI129" t="s">
        <v>139</v>
      </c>
      <c r="AJ129" s="1">
        <f>IFERROR(AJ127*AJ128,"")</f>
        <v>170000</v>
      </c>
      <c r="AK129" s="1">
        <f t="shared" ref="AK129:AP129" si="170">IFERROR(AK127*AK128,"")</f>
        <v>350000</v>
      </c>
      <c r="AL129" s="1">
        <f t="shared" si="170"/>
        <v>0</v>
      </c>
      <c r="AM129" s="1">
        <f t="shared" si="170"/>
        <v>189000</v>
      </c>
      <c r="AN129" s="1">
        <f t="shared" si="170"/>
        <v>0</v>
      </c>
      <c r="AO129" s="1">
        <f t="shared" si="170"/>
        <v>255000</v>
      </c>
      <c r="AP129" s="1">
        <f t="shared" si="170"/>
        <v>0</v>
      </c>
      <c r="AQ129" s="3">
        <f>SUM(Penjualan[[#This Row],[KATUN]:[SUTRA]])</f>
        <v>964000</v>
      </c>
      <c r="AR129" s="66">
        <f>AQ129*11%</f>
        <v>106040</v>
      </c>
      <c r="AS129" s="66">
        <f>Penjualan[[#This Row],[JUMLAH]]+Penjualan[[#This Row],[Pajak 11%]]</f>
        <v>1070040</v>
      </c>
      <c r="AT129" s="66">
        <v>20040</v>
      </c>
      <c r="AU129" s="66">
        <f>Penjualan[[#This Row],[Jumlah + Tax]]-Penjualan[[#This Row],[Diskon]]</f>
        <v>1050000</v>
      </c>
    </row>
    <row r="130" spans="13:47">
      <c r="M130" s="126"/>
      <c r="N130" s="121" t="str">
        <f t="shared" si="133"/>
        <v/>
      </c>
      <c r="O130" s="122"/>
      <c r="Q130" s="3"/>
      <c r="W130" s="124"/>
      <c r="X130" s="124"/>
      <c r="AI130" s="65" t="str">
        <f>"Jumlah Beli"&amp;" "&amp;O48</f>
        <v>Jumlah Beli Ghost F</v>
      </c>
      <c r="AJ130" s="42">
        <f>P48/2</f>
        <v>15</v>
      </c>
      <c r="AK130" s="42">
        <f t="shared" ref="AK130:AP130" si="171">Q48/2</f>
        <v>0</v>
      </c>
      <c r="AL130" s="42">
        <f t="shared" si="171"/>
        <v>10</v>
      </c>
      <c r="AM130" s="42">
        <f t="shared" si="171"/>
        <v>25</v>
      </c>
      <c r="AN130" s="42">
        <f t="shared" si="171"/>
        <v>10</v>
      </c>
      <c r="AO130" s="42">
        <f t="shared" si="171"/>
        <v>0</v>
      </c>
      <c r="AP130" s="42">
        <f t="shared" si="171"/>
        <v>10</v>
      </c>
      <c r="AQ130" s="1">
        <f>SUM(AJ130:AP130)</f>
        <v>70</v>
      </c>
      <c r="AR130" s="66"/>
      <c r="AS130" s="66"/>
      <c r="AT130" s="66"/>
      <c r="AU130" s="66"/>
    </row>
    <row r="131" spans="13:47">
      <c r="M131" s="126"/>
      <c r="N131" s="121" t="str">
        <f t="shared" si="133"/>
        <v/>
      </c>
      <c r="O131" s="122"/>
      <c r="Q131" s="3"/>
      <c r="W131" s="124"/>
      <c r="X131" s="124"/>
      <c r="AI131" s="1" t="s">
        <v>138</v>
      </c>
      <c r="AJ131" s="1" cm="1">
        <f t="array" ref="AJ131">IFERROR(_xlfn.IFS(AJ130&lt;=10,17000,AJ130&lt;=30,15000,AJ130&lt;=50,14000,AJ130&lt;=100,13750),"")</f>
        <v>15000</v>
      </c>
      <c r="AK131" s="1" cm="1">
        <f t="array" ref="AK131">IFERROR(_xlfn.IFS(AK130&lt;=10,18000,AK130&lt;=30,17500,AK130&lt;=50,17000,AK130&lt;=100,16750),"")</f>
        <v>18000</v>
      </c>
      <c r="AL131" s="1" cm="1">
        <f t="array" ref="AL131">IFERROR(_xlfn.IFS(AL130&lt;=10,19500,AL130&lt;=30,19200,AL130&lt;=50,19000,AL130&lt;=100,18500),"")</f>
        <v>19500</v>
      </c>
      <c r="AM131" s="1" cm="1">
        <f t="array" ref="AM131">IFERROR(_xlfn.IFS(AM130&lt;=10,21000,AM130&lt;=30,20700,AM130&lt;=50,19800,AM130&lt;=100,18800),"")</f>
        <v>20700</v>
      </c>
      <c r="AN131" s="1" cm="1">
        <f t="array" ref="AN131">IFERROR(_xlfn.IFS(AN130&lt;=10,25000,AN130&lt;=30,23000,AN130&lt;=50,21000,AN130&lt;=100,20000),"")</f>
        <v>25000</v>
      </c>
      <c r="AO131" s="1" cm="1">
        <f t="array" ref="AO131">IFERROR(_xlfn.IFS(AO130&lt;=10,17000,AO130&lt;=30,15000,AO130&lt;=50,14000,AO130&lt;=100,13750),"")</f>
        <v>17000</v>
      </c>
      <c r="AP131" s="1" cm="1">
        <f t="array" ref="AP131">IFERROR(_xlfn.IFS(AP130&lt;=10,21000,AP130&lt;=30,20700,AP130&lt;=50,19800,AP130&lt;=100,18800),"")</f>
        <v>21000</v>
      </c>
      <c r="AQ131" s="1">
        <v>1687.2727272727275</v>
      </c>
      <c r="AR131" s="66"/>
      <c r="AS131" s="66"/>
      <c r="AT131" s="66"/>
      <c r="AU131" s="66"/>
    </row>
    <row r="132" spans="13:47">
      <c r="M132" s="126"/>
      <c r="N132" s="121" t="str">
        <f t="shared" si="133"/>
        <v/>
      </c>
      <c r="O132" s="122"/>
      <c r="Q132" s="3"/>
      <c r="W132" s="124"/>
      <c r="X132" s="124"/>
      <c r="AI132" t="s">
        <v>139</v>
      </c>
      <c r="AJ132" s="1">
        <f>IFERROR(AJ130*AJ131,"")</f>
        <v>225000</v>
      </c>
      <c r="AK132" s="1">
        <f t="shared" ref="AK132:AP132" si="172">IFERROR(AK130*AK131,"")</f>
        <v>0</v>
      </c>
      <c r="AL132" s="1">
        <f t="shared" si="172"/>
        <v>195000</v>
      </c>
      <c r="AM132" s="1">
        <f t="shared" si="172"/>
        <v>517500</v>
      </c>
      <c r="AN132" s="1">
        <f t="shared" si="172"/>
        <v>250000</v>
      </c>
      <c r="AO132" s="1">
        <f t="shared" si="172"/>
        <v>0</v>
      </c>
      <c r="AP132" s="1">
        <f t="shared" si="172"/>
        <v>210000</v>
      </c>
      <c r="AQ132" s="3">
        <f>SUM(Penjualan[[#This Row],[KATUN]:[SUTRA]])</f>
        <v>1397500</v>
      </c>
      <c r="AR132" s="66">
        <f>AQ132*11%</f>
        <v>153725</v>
      </c>
      <c r="AS132" s="66">
        <f>Penjualan[[#This Row],[JUMLAH]]+Penjualan[[#This Row],[Pajak 11%]]</f>
        <v>1551225</v>
      </c>
      <c r="AT132" s="66">
        <v>21225</v>
      </c>
      <c r="AU132" s="66">
        <f>Penjualan[[#This Row],[Jumlah + Tax]]-Penjualan[[#This Row],[Diskon]]</f>
        <v>1530000</v>
      </c>
    </row>
    <row r="133" spans="13:47">
      <c r="M133" s="126"/>
      <c r="N133" s="121" t="str">
        <f t="shared" si="133"/>
        <v/>
      </c>
      <c r="O133" s="122"/>
      <c r="Q133" s="3"/>
      <c r="W133" s="124"/>
      <c r="X133" s="124"/>
      <c r="AI133" s="65" t="str">
        <f>"Jumlah Beli"&amp;" "&amp;O49</f>
        <v>Jumlah Beli Ghost G</v>
      </c>
      <c r="AJ133" s="42">
        <f>P49/2</f>
        <v>0</v>
      </c>
      <c r="AK133" s="42">
        <f t="shared" ref="AK133:AP133" si="173">Q49/2</f>
        <v>8</v>
      </c>
      <c r="AL133" s="42">
        <f t="shared" si="173"/>
        <v>15</v>
      </c>
      <c r="AM133" s="42">
        <f t="shared" si="173"/>
        <v>0</v>
      </c>
      <c r="AN133" s="42">
        <f t="shared" si="173"/>
        <v>10</v>
      </c>
      <c r="AO133" s="42">
        <f t="shared" si="173"/>
        <v>0</v>
      </c>
      <c r="AP133" s="42">
        <f t="shared" si="173"/>
        <v>10</v>
      </c>
      <c r="AQ133" s="1">
        <f>SUM(AJ133:AP133)</f>
        <v>43</v>
      </c>
      <c r="AR133" s="66"/>
      <c r="AS133" s="66"/>
      <c r="AT133" s="66"/>
      <c r="AU133" s="66"/>
    </row>
    <row r="134" spans="13:47">
      <c r="M134" s="126"/>
      <c r="N134" s="121" t="str">
        <f t="shared" si="133"/>
        <v/>
      </c>
      <c r="O134" s="122"/>
      <c r="Q134" s="3"/>
      <c r="W134" s="124"/>
      <c r="X134" s="124"/>
      <c r="AI134" s="1" t="s">
        <v>138</v>
      </c>
      <c r="AJ134" s="1" cm="1">
        <f t="array" ref="AJ134">IFERROR(_xlfn.IFS(AJ133&lt;=10,17000,AJ133&lt;=30,15000,AJ133&lt;=50,14000,AJ133&lt;=100,13750),"")</f>
        <v>17000</v>
      </c>
      <c r="AK134" s="1" cm="1">
        <f t="array" ref="AK134">IFERROR(_xlfn.IFS(AK133&lt;=10,18000,AK133&lt;=30,17500,AK133&lt;=50,17000,AK133&lt;=100,16750),"")</f>
        <v>18000</v>
      </c>
      <c r="AL134" s="1" cm="1">
        <f t="array" ref="AL134">IFERROR(_xlfn.IFS(AL133&lt;=10,19500,AL133&lt;=30,19200,AL133&lt;=50,19000,AL133&lt;=100,18500),"")</f>
        <v>19200</v>
      </c>
      <c r="AM134" s="1" cm="1">
        <f t="array" ref="AM134">IFERROR(_xlfn.IFS(AM133&lt;=10,21000,AM133&lt;=30,20700,AM133&lt;=50,19800,AM133&lt;=100,18800),"")</f>
        <v>21000</v>
      </c>
      <c r="AN134" s="1" cm="1">
        <f t="array" ref="AN134">IFERROR(_xlfn.IFS(AN133&lt;=10,25000,AN133&lt;=30,23000,AN133&lt;=50,21000,AN133&lt;=100,20000),"")</f>
        <v>25000</v>
      </c>
      <c r="AO134" s="1" cm="1">
        <f t="array" ref="AO134">IFERROR(_xlfn.IFS(AO133&lt;=10,17000,AO133&lt;=30,15000,AO133&lt;=50,14000,AO133&lt;=100,13750),"")</f>
        <v>17000</v>
      </c>
      <c r="AP134" s="1" cm="1">
        <f t="array" ref="AP134">IFERROR(_xlfn.IFS(AP133&lt;=10,21000,AP133&lt;=30,20700,AP133&lt;=50,19800,AP133&lt;=100,18800),"")</f>
        <v>21000</v>
      </c>
      <c r="AQ134" s="1">
        <v>1687.2727272727275</v>
      </c>
      <c r="AR134" s="66"/>
      <c r="AS134" s="66"/>
      <c r="AT134" s="66"/>
      <c r="AU134" s="66"/>
    </row>
    <row r="135" spans="13:47">
      <c r="M135" s="126"/>
      <c r="N135" s="121" t="str">
        <f t="shared" si="133"/>
        <v/>
      </c>
      <c r="O135" s="122"/>
      <c r="Q135" s="3"/>
      <c r="W135" s="124"/>
      <c r="X135" s="124"/>
      <c r="AI135" t="s">
        <v>139</v>
      </c>
      <c r="AJ135" s="1">
        <f>IFERROR(AJ133*AJ134,"")</f>
        <v>0</v>
      </c>
      <c r="AK135" s="1">
        <f t="shared" ref="AK135:AP135" si="174">IFERROR(AK133*AK134,"")</f>
        <v>144000</v>
      </c>
      <c r="AL135" s="1">
        <f t="shared" si="174"/>
        <v>288000</v>
      </c>
      <c r="AM135" s="1">
        <f t="shared" si="174"/>
        <v>0</v>
      </c>
      <c r="AN135" s="1">
        <f t="shared" si="174"/>
        <v>250000</v>
      </c>
      <c r="AO135" s="1">
        <f t="shared" si="174"/>
        <v>0</v>
      </c>
      <c r="AP135" s="1">
        <f t="shared" si="174"/>
        <v>210000</v>
      </c>
      <c r="AQ135" s="3">
        <f>SUM(Penjualan[[#This Row],[KATUN]:[SUTRA]])</f>
        <v>892000</v>
      </c>
      <c r="AR135" s="66">
        <f>AQ135*11%</f>
        <v>98120</v>
      </c>
      <c r="AS135" s="66">
        <f>Penjualan[[#This Row],[JUMLAH]]+Penjualan[[#This Row],[Pajak 11%]]</f>
        <v>990120</v>
      </c>
      <c r="AT135" s="66">
        <v>10120</v>
      </c>
      <c r="AU135" s="66">
        <f>Penjualan[[#This Row],[Jumlah + Tax]]-Penjualan[[#This Row],[Diskon]]</f>
        <v>980000</v>
      </c>
    </row>
    <row r="136" spans="13:47">
      <c r="M136" s="126"/>
      <c r="N136" s="121" t="str">
        <f t="shared" si="133"/>
        <v/>
      </c>
      <c r="O136" s="122"/>
      <c r="Q136" s="3"/>
      <c r="W136" s="124"/>
      <c r="X136" s="124"/>
      <c r="AH136" s="125">
        <v>46117</v>
      </c>
      <c r="AI136" s="65" t="str">
        <f>"Jumlah Beli"&amp;" "&amp;O50</f>
        <v>Jumlah Beli Ghost A</v>
      </c>
      <c r="AJ136" s="42">
        <f>P50/2</f>
        <v>15</v>
      </c>
      <c r="AK136" s="42">
        <f t="shared" ref="AK136:AP136" si="175">Q50/2</f>
        <v>15</v>
      </c>
      <c r="AL136" s="42">
        <f t="shared" si="175"/>
        <v>0</v>
      </c>
      <c r="AM136" s="42">
        <f t="shared" si="175"/>
        <v>10</v>
      </c>
      <c r="AN136" s="42">
        <f t="shared" si="175"/>
        <v>10</v>
      </c>
      <c r="AO136" s="42">
        <f t="shared" si="175"/>
        <v>10</v>
      </c>
      <c r="AP136" s="42">
        <f t="shared" si="175"/>
        <v>20</v>
      </c>
      <c r="AQ136" s="1">
        <f>SUM(AJ136:AP136)</f>
        <v>80</v>
      </c>
      <c r="AR136" s="66"/>
      <c r="AS136" s="66"/>
      <c r="AT136" s="66"/>
      <c r="AU136" s="66"/>
    </row>
    <row r="137" spans="13:47">
      <c r="M137" s="126"/>
      <c r="N137" s="121" t="str">
        <f t="shared" ref="N137:N158" si="176">IFERROR(IF(M137&lt;&gt;"",TEXT(M137,"mmm"&amp;" "&amp;"yyyy"),""),"")</f>
        <v/>
      </c>
      <c r="O137" s="122"/>
      <c r="Q137" s="3"/>
      <c r="W137" s="124"/>
      <c r="X137" s="124"/>
      <c r="AI137" s="1" t="s">
        <v>138</v>
      </c>
      <c r="AJ137" s="1" cm="1">
        <f t="array" ref="AJ137">IFERROR(_xlfn.IFS(AJ136&lt;=10,17000,AJ136&lt;=30,15000,AJ136&lt;=50,14000,AJ136&lt;=100,13750),"")</f>
        <v>15000</v>
      </c>
      <c r="AK137" s="1" cm="1">
        <f t="array" ref="AK137">IFERROR(_xlfn.IFS(AK136&lt;=10,18000,AK136&lt;=30,17500,AK136&lt;=50,17000,AK136&lt;=100,16750),"")</f>
        <v>17500</v>
      </c>
      <c r="AL137" s="1" cm="1">
        <f t="array" ref="AL137">IFERROR(_xlfn.IFS(AL136&lt;=10,19500,AL136&lt;=30,19200,AL136&lt;=50,19000,AL136&lt;=100,18500),"")</f>
        <v>19500</v>
      </c>
      <c r="AM137" s="1" cm="1">
        <f t="array" ref="AM137">IFERROR(_xlfn.IFS(AM136&lt;=10,21000,AM136&lt;=30,20700,AM136&lt;=50,19800,AM136&lt;=100,18800),"")</f>
        <v>21000</v>
      </c>
      <c r="AN137" s="1" cm="1">
        <f t="array" ref="AN137">IFERROR(_xlfn.IFS(AN136&lt;=10,25000,AN136&lt;=30,23000,AN136&lt;=50,21000,AN136&lt;=100,20000),"")</f>
        <v>25000</v>
      </c>
      <c r="AO137" s="1" cm="1">
        <f t="array" ref="AO137">IFERROR(_xlfn.IFS(AO136&lt;=10,17000,AO136&lt;=30,15000,AO136&lt;=50,14000,AO136&lt;=100,13750),"")</f>
        <v>17000</v>
      </c>
      <c r="AP137" s="1" cm="1">
        <f t="array" ref="AP137">IFERROR(_xlfn.IFS(AP136&lt;=10,21000,AP136&lt;=30,20700,AP136&lt;=50,19800,AP136&lt;=100,18800),"")</f>
        <v>20700</v>
      </c>
      <c r="AQ137" s="1">
        <f>AVERAGE(AJ137:AP137)</f>
        <v>19385.714285714286</v>
      </c>
      <c r="AR137" s="66"/>
      <c r="AS137" s="66"/>
      <c r="AT137" s="66"/>
      <c r="AU137" s="66"/>
    </row>
    <row r="138" spans="13:47">
      <c r="M138" s="126"/>
      <c r="N138" s="121" t="str">
        <f t="shared" si="176"/>
        <v/>
      </c>
      <c r="O138" s="122"/>
      <c r="Q138" s="3"/>
      <c r="W138" s="124"/>
      <c r="X138" s="124"/>
      <c r="AI138" t="s">
        <v>139</v>
      </c>
      <c r="AJ138" s="1">
        <f t="shared" ref="AJ138:AP138" si="177">IFERROR(AJ136*AJ137,"")</f>
        <v>225000</v>
      </c>
      <c r="AK138" s="1">
        <f t="shared" si="177"/>
        <v>262500</v>
      </c>
      <c r="AL138" s="1">
        <f t="shared" si="177"/>
        <v>0</v>
      </c>
      <c r="AM138" s="1">
        <f t="shared" si="177"/>
        <v>210000</v>
      </c>
      <c r="AN138" s="1">
        <f t="shared" si="177"/>
        <v>250000</v>
      </c>
      <c r="AO138" s="1">
        <f t="shared" si="177"/>
        <v>170000</v>
      </c>
      <c r="AP138" s="1">
        <f t="shared" si="177"/>
        <v>414000</v>
      </c>
      <c r="AQ138" s="3">
        <f>SUM(Penjualan[[#This Row],[KATUN]:[SUTRA]])</f>
        <v>1531500</v>
      </c>
      <c r="AR138" s="66">
        <f>AQ138*11%</f>
        <v>168465</v>
      </c>
      <c r="AS138" s="66">
        <f>Penjualan[[#This Row],[JUMLAH]]+Penjualan[[#This Row],[Pajak 11%]]</f>
        <v>1699965</v>
      </c>
      <c r="AT138" s="66">
        <v>19965</v>
      </c>
      <c r="AU138" s="66">
        <f>Penjualan[[#This Row],[Jumlah + Tax]]-Penjualan[[#This Row],[Diskon]]</f>
        <v>1680000</v>
      </c>
    </row>
    <row r="139" spans="13:47">
      <c r="M139" s="126"/>
      <c r="N139" s="121" t="str">
        <f t="shared" si="176"/>
        <v/>
      </c>
      <c r="O139" s="122"/>
      <c r="Q139" s="3"/>
      <c r="W139" s="124"/>
      <c r="X139" s="124"/>
      <c r="AI139" s="65" t="str">
        <f>"Jumlah Beli"&amp;" "&amp;O51</f>
        <v>Jumlah Beli Ghost B</v>
      </c>
      <c r="AJ139" s="41">
        <f>P51/2</f>
        <v>10</v>
      </c>
      <c r="AK139" s="41">
        <f t="shared" ref="AK139:AP139" si="178">Q51/2</f>
        <v>10</v>
      </c>
      <c r="AL139" s="41">
        <f t="shared" si="178"/>
        <v>25</v>
      </c>
      <c r="AM139" s="41">
        <f t="shared" si="178"/>
        <v>5</v>
      </c>
      <c r="AN139" s="41">
        <f t="shared" si="178"/>
        <v>15</v>
      </c>
      <c r="AO139" s="41">
        <f t="shared" si="178"/>
        <v>6</v>
      </c>
      <c r="AP139" s="41">
        <f t="shared" si="178"/>
        <v>10</v>
      </c>
      <c r="AQ139" s="1">
        <f>SUM(AJ139:AP139)</f>
        <v>81</v>
      </c>
      <c r="AR139" s="66"/>
      <c r="AS139" s="66"/>
      <c r="AT139" s="66"/>
      <c r="AU139" s="66"/>
    </row>
    <row r="140" spans="13:47">
      <c r="M140" s="126"/>
      <c r="N140" s="121" t="str">
        <f t="shared" si="176"/>
        <v/>
      </c>
      <c r="O140" s="122"/>
      <c r="Q140" s="3"/>
      <c r="W140" s="124"/>
      <c r="X140" s="124"/>
      <c r="AI140" s="1" t="s">
        <v>138</v>
      </c>
      <c r="AJ140" s="1" cm="1">
        <f t="array" ref="AJ140">IFERROR(_xlfn.IFS(AJ139&lt;=10,17000,AJ139&lt;=30,15000,AJ139&lt;=50,14000,AJ139&lt;=100,13750),"")</f>
        <v>17000</v>
      </c>
      <c r="AK140" s="1" cm="1">
        <f t="array" ref="AK140">IFERROR(_xlfn.IFS(AK139&lt;=10,18000,AK139&lt;=30,17500,AK139&lt;=50,17000,AK139&lt;=100,16750),"")</f>
        <v>18000</v>
      </c>
      <c r="AL140" s="1" cm="1">
        <f t="array" ref="AL140">IFERROR(_xlfn.IFS(AL139&lt;=10,19500,AL139&lt;=30,19200,AL139&lt;=50,19000,AL139&lt;=100,18500),"")</f>
        <v>19200</v>
      </c>
      <c r="AM140" s="1" cm="1">
        <f t="array" ref="AM140">IFERROR(_xlfn.IFS(AM139&lt;=10,21000,AM139&lt;=30,20700,AM139&lt;=50,19800,AM139&lt;=100,18800),"")</f>
        <v>21000</v>
      </c>
      <c r="AN140" s="1" cm="1">
        <f t="array" ref="AN140">IFERROR(_xlfn.IFS(AN139&lt;=10,25000,AN139&lt;=30,23000,AN139&lt;=50,21000,AN139&lt;=100,20000),"")</f>
        <v>23000</v>
      </c>
      <c r="AO140" s="1" cm="1">
        <f t="array" ref="AO140">IFERROR(_xlfn.IFS(AO139&lt;=10,17000,AO139&lt;=30,15000,AO139&lt;=50,14000,AO139&lt;=100,13750),"")</f>
        <v>17000</v>
      </c>
      <c r="AP140" s="1" cm="1">
        <f t="array" ref="AP140">IFERROR(_xlfn.IFS(AP139&lt;=10,21000,AP139&lt;=30,20700,AP139&lt;=50,19800,AP139&lt;=100,18800),"")</f>
        <v>21000</v>
      </c>
      <c r="AQ140" s="1">
        <f>AVERAGE(AJ140:AP140)</f>
        <v>19457.142857142859</v>
      </c>
      <c r="AR140" s="66"/>
      <c r="AS140" s="66"/>
      <c r="AT140" s="66"/>
      <c r="AU140" s="66"/>
    </row>
    <row r="141" spans="13:47">
      <c r="M141" s="126"/>
      <c r="N141" s="121" t="str">
        <f t="shared" si="176"/>
        <v/>
      </c>
      <c r="O141" s="122"/>
      <c r="Q141" s="3"/>
      <c r="W141" s="124"/>
      <c r="X141" s="124"/>
      <c r="AI141" t="s">
        <v>139</v>
      </c>
      <c r="AJ141" s="1">
        <f>IFERROR(AJ139*AJ140,"")</f>
        <v>170000</v>
      </c>
      <c r="AK141" s="1">
        <f t="shared" ref="AK141:AP141" si="179">IFERROR(AK139*AK140,"")</f>
        <v>180000</v>
      </c>
      <c r="AL141" s="1">
        <f t="shared" si="179"/>
        <v>480000</v>
      </c>
      <c r="AM141" s="1">
        <f t="shared" si="179"/>
        <v>105000</v>
      </c>
      <c r="AN141" s="1">
        <f t="shared" si="179"/>
        <v>345000</v>
      </c>
      <c r="AO141" s="1">
        <f t="shared" si="179"/>
        <v>102000</v>
      </c>
      <c r="AP141" s="1">
        <f t="shared" si="179"/>
        <v>210000</v>
      </c>
      <c r="AQ141" s="3">
        <f>SUM(Penjualan[[#This Row],[KATUN]:[SUTRA]])</f>
        <v>1592000</v>
      </c>
      <c r="AR141" s="66">
        <f>AQ141*11%</f>
        <v>175120</v>
      </c>
      <c r="AS141" s="66">
        <f>Penjualan[[#This Row],[JUMLAH]]+Penjualan[[#This Row],[Pajak 11%]]</f>
        <v>1767120</v>
      </c>
      <c r="AT141" s="66">
        <v>17120</v>
      </c>
      <c r="AU141" s="66">
        <f>Penjualan[[#This Row],[Jumlah + Tax]]-Penjualan[[#This Row],[Diskon]]</f>
        <v>1750000</v>
      </c>
    </row>
    <row r="142" spans="13:47">
      <c r="M142" s="126"/>
      <c r="N142" s="121" t="str">
        <f t="shared" si="176"/>
        <v/>
      </c>
      <c r="O142" s="122"/>
      <c r="Q142" s="3"/>
      <c r="W142" s="124"/>
      <c r="X142" s="124"/>
      <c r="AI142" s="65" t="str">
        <f>"Jumlah Beli"&amp;" "&amp;O52</f>
        <v>Jumlah Beli Ghost C</v>
      </c>
      <c r="AJ142" s="41">
        <f>P52/2</f>
        <v>20</v>
      </c>
      <c r="AK142" s="41">
        <f t="shared" ref="AK142:AP142" si="180">Q52/2</f>
        <v>10</v>
      </c>
      <c r="AL142" s="41">
        <f t="shared" si="180"/>
        <v>0</v>
      </c>
      <c r="AM142" s="41">
        <f t="shared" si="180"/>
        <v>10</v>
      </c>
      <c r="AN142" s="41">
        <f t="shared" si="180"/>
        <v>20</v>
      </c>
      <c r="AO142" s="41">
        <f t="shared" si="180"/>
        <v>20</v>
      </c>
      <c r="AP142" s="41">
        <f t="shared" si="180"/>
        <v>0</v>
      </c>
      <c r="AQ142" s="1">
        <f>SUM(AJ142:AP142)</f>
        <v>80</v>
      </c>
      <c r="AR142" s="66"/>
      <c r="AS142" s="66"/>
      <c r="AT142" s="66"/>
      <c r="AU142" s="66"/>
    </row>
    <row r="143" spans="13:47">
      <c r="M143" s="126"/>
      <c r="N143" s="121" t="str">
        <f t="shared" si="176"/>
        <v/>
      </c>
      <c r="O143" s="122"/>
      <c r="Q143" s="3"/>
      <c r="W143" s="124"/>
      <c r="X143" s="124"/>
      <c r="AI143" s="1" t="s">
        <v>138</v>
      </c>
      <c r="AJ143" s="1" cm="1">
        <f t="array" ref="AJ143">IFERROR(_xlfn.IFS(AJ142&lt;=10,17000,AJ142&lt;=30,15000,AJ142&lt;=50,14000,AJ142&lt;=100,13750),"")</f>
        <v>15000</v>
      </c>
      <c r="AK143" s="1" cm="1">
        <f t="array" ref="AK143">IFERROR(_xlfn.IFS(AK142&lt;=10,18000,AK142&lt;=30,17500,AK142&lt;=50,17000,AK142&lt;=100,16750),"")</f>
        <v>18000</v>
      </c>
      <c r="AL143" s="1" cm="1">
        <f t="array" ref="AL143">IFERROR(_xlfn.IFS(AL142&lt;=10,19500,AL142&lt;=30,19200,AL142&lt;=50,19000,AL142&lt;=100,18500),"")</f>
        <v>19500</v>
      </c>
      <c r="AM143" s="1" cm="1">
        <f t="array" ref="AM143">IFERROR(_xlfn.IFS(AM142&lt;=10,21000,AM142&lt;=30,20700,AM142&lt;=50,19800,AM142&lt;=100,18800),"")</f>
        <v>21000</v>
      </c>
      <c r="AN143" s="1" cm="1">
        <f t="array" ref="AN143">IFERROR(_xlfn.IFS(AN142&lt;=10,25000,AN142&lt;=30,23000,AN142&lt;=50,21000,AN142&lt;=100,20000),"")</f>
        <v>23000</v>
      </c>
      <c r="AO143" s="1" cm="1">
        <f t="array" ref="AO143">IFERROR(_xlfn.IFS(AO142&lt;=10,17000,AO142&lt;=30,15000,AO142&lt;=50,14000,AO142&lt;=100,13750),"")</f>
        <v>15000</v>
      </c>
      <c r="AP143" s="1" cm="1">
        <f t="array" ref="AP143">IFERROR(_xlfn.IFS(AP142&lt;=10,21000,AP142&lt;=30,20700,AP142&lt;=50,19800,AP142&lt;=100,18800),"")</f>
        <v>21000</v>
      </c>
      <c r="AQ143" s="1">
        <f>AVERAGE(AJ143:AP143)</f>
        <v>18928.571428571428</v>
      </c>
      <c r="AR143" s="66"/>
      <c r="AS143" s="66"/>
      <c r="AT143" s="66"/>
      <c r="AU143" s="66"/>
    </row>
    <row r="144" spans="13:47">
      <c r="M144" s="126"/>
      <c r="N144" s="121" t="str">
        <f t="shared" si="176"/>
        <v/>
      </c>
      <c r="O144" s="122"/>
      <c r="Q144" s="3"/>
      <c r="W144" s="124"/>
      <c r="X144" s="124"/>
      <c r="AI144" t="s">
        <v>139</v>
      </c>
      <c r="AJ144" s="1">
        <f>IFERROR(AJ142*AJ143,"")</f>
        <v>300000</v>
      </c>
      <c r="AK144" s="1">
        <f t="shared" ref="AK144:AP144" si="181">IFERROR(AK142*AK143,"")</f>
        <v>180000</v>
      </c>
      <c r="AL144" s="1">
        <f t="shared" si="181"/>
        <v>0</v>
      </c>
      <c r="AM144" s="1">
        <f t="shared" si="181"/>
        <v>210000</v>
      </c>
      <c r="AN144" s="1">
        <f t="shared" si="181"/>
        <v>460000</v>
      </c>
      <c r="AO144" s="1">
        <f t="shared" si="181"/>
        <v>300000</v>
      </c>
      <c r="AP144" s="1">
        <f t="shared" si="181"/>
        <v>0</v>
      </c>
      <c r="AQ144" s="3">
        <f>SUM(Penjualan[[#This Row],[KATUN]:[SUTRA]])</f>
        <v>1450000</v>
      </c>
      <c r="AR144" s="66">
        <f>AQ144*11%</f>
        <v>159500</v>
      </c>
      <c r="AS144" s="66">
        <f>Penjualan[[#This Row],[JUMLAH]]+Penjualan[[#This Row],[Pajak 11%]]</f>
        <v>1609500</v>
      </c>
      <c r="AT144" s="66">
        <v>19500</v>
      </c>
      <c r="AU144" s="66">
        <f>Penjualan[[#This Row],[Jumlah + Tax]]-Penjualan[[#This Row],[Diskon]]</f>
        <v>1590000</v>
      </c>
    </row>
    <row r="145" spans="1:47">
      <c r="M145" s="126"/>
      <c r="N145" s="121" t="str">
        <f t="shared" si="176"/>
        <v/>
      </c>
      <c r="O145" s="122"/>
      <c r="Q145" s="3"/>
      <c r="W145" s="124"/>
      <c r="X145" s="124"/>
      <c r="AI145" s="65" t="str">
        <f>"Jumlah Beli"&amp;" "&amp;O53</f>
        <v>Jumlah Beli Ghost D</v>
      </c>
      <c r="AJ145" s="1">
        <f>P53/2</f>
        <v>15</v>
      </c>
      <c r="AK145" s="1">
        <f t="shared" ref="AK145:AP145" si="182">Q53/2</f>
        <v>10</v>
      </c>
      <c r="AL145" s="1">
        <f t="shared" si="182"/>
        <v>26</v>
      </c>
      <c r="AM145" s="1">
        <f t="shared" si="182"/>
        <v>6</v>
      </c>
      <c r="AN145" s="1">
        <f t="shared" si="182"/>
        <v>10</v>
      </c>
      <c r="AO145" s="1">
        <f t="shared" si="182"/>
        <v>10</v>
      </c>
      <c r="AP145" s="1">
        <f t="shared" si="182"/>
        <v>10</v>
      </c>
      <c r="AQ145" s="1">
        <f>SUM(AJ145:AP145)</f>
        <v>87</v>
      </c>
      <c r="AR145" s="66"/>
      <c r="AS145" s="66"/>
      <c r="AT145" s="66"/>
      <c r="AU145" s="66"/>
    </row>
    <row r="146" spans="1:47">
      <c r="M146" s="126"/>
      <c r="N146" s="121" t="str">
        <f t="shared" si="176"/>
        <v/>
      </c>
      <c r="O146" s="122"/>
      <c r="Q146" s="3"/>
      <c r="W146" s="124"/>
      <c r="X146" s="124"/>
      <c r="AI146" s="1" t="s">
        <v>138</v>
      </c>
      <c r="AJ146" s="1" cm="1">
        <f t="array" ref="AJ146">IFERROR(_xlfn.IFS(AJ145&lt;=10,17000,AJ145&lt;=30,15000,AJ145&lt;=50,14000,AJ145&lt;=100,13750),"")</f>
        <v>15000</v>
      </c>
      <c r="AK146" s="1" cm="1">
        <f t="array" ref="AK146">IFERROR(_xlfn.IFS(AK145&lt;=10,18000,AK145&lt;=30,17500,AK145&lt;=50,17000,AK145&lt;=100,16750),"")</f>
        <v>18000</v>
      </c>
      <c r="AL146" s="1" cm="1">
        <f t="array" ref="AL146">IFERROR(_xlfn.IFS(AL145&lt;=10,19500,AL145&lt;=30,19200,AL145&lt;=50,19000,AL145&lt;=100,18500),"")</f>
        <v>19200</v>
      </c>
      <c r="AM146" s="1" cm="1">
        <f t="array" ref="AM146">IFERROR(_xlfn.IFS(AM145&lt;=10,21000,AM145&lt;=30,20700,AM145&lt;=50,19800,AM145&lt;=100,18800),"")</f>
        <v>21000</v>
      </c>
      <c r="AN146" s="1" cm="1">
        <f t="array" ref="AN146">IFERROR(_xlfn.IFS(AN145&lt;=10,25000,AN145&lt;=30,23000,AN145&lt;=50,21000,AN145&lt;=100,20000),"")</f>
        <v>25000</v>
      </c>
      <c r="AO146" s="1" cm="1">
        <f t="array" ref="AO146">IFERROR(_xlfn.IFS(AO145&lt;=10,17000,AO145&lt;=30,15000,AO145&lt;=50,14000,AO145&lt;=100,13750),"")</f>
        <v>17000</v>
      </c>
      <c r="AP146" s="1" cm="1">
        <f t="array" ref="AP146">IFERROR(_xlfn.IFS(AP145&lt;=10,21000,AP145&lt;=30,20700,AP145&lt;=50,19800,AP145&lt;=100,18800),"")</f>
        <v>21000</v>
      </c>
      <c r="AQ146" s="1">
        <f>AVERAGE(AJ146:AP146)</f>
        <v>19457.142857142859</v>
      </c>
      <c r="AR146" s="66"/>
      <c r="AS146" s="66"/>
      <c r="AT146" s="66"/>
      <c r="AU146" s="66"/>
    </row>
    <row r="147" spans="1:47">
      <c r="M147" s="126"/>
      <c r="N147" s="121" t="str">
        <f t="shared" si="176"/>
        <v/>
      </c>
      <c r="O147" s="122"/>
      <c r="Q147" s="3"/>
      <c r="W147" s="124"/>
      <c r="X147" s="124"/>
      <c r="AI147" t="s">
        <v>139</v>
      </c>
      <c r="AJ147" s="1">
        <f>IFERROR(AJ145*AJ146,"")</f>
        <v>225000</v>
      </c>
      <c r="AK147" s="1">
        <f t="shared" ref="AK147:AP147" si="183">IFERROR(AK145*AK146,"")</f>
        <v>180000</v>
      </c>
      <c r="AL147" s="1">
        <f t="shared" si="183"/>
        <v>499200</v>
      </c>
      <c r="AM147" s="1">
        <f t="shared" si="183"/>
        <v>126000</v>
      </c>
      <c r="AN147" s="1">
        <f t="shared" si="183"/>
        <v>250000</v>
      </c>
      <c r="AO147" s="1">
        <f t="shared" si="183"/>
        <v>170000</v>
      </c>
      <c r="AP147" s="1">
        <f t="shared" si="183"/>
        <v>210000</v>
      </c>
      <c r="AQ147" s="3">
        <f>SUM(Penjualan[[#This Row],[KATUN]:[SUTRA]])</f>
        <v>1660200</v>
      </c>
      <c r="AR147" s="66">
        <f>AQ147*11%</f>
        <v>182622</v>
      </c>
      <c r="AS147" s="66">
        <f>Penjualan[[#This Row],[JUMLAH]]+Penjualan[[#This Row],[Pajak 11%]]</f>
        <v>1842822</v>
      </c>
      <c r="AT147" s="66">
        <v>22822</v>
      </c>
      <c r="AU147" s="66">
        <f>Penjualan[[#This Row],[Jumlah + Tax]]-Penjualan[[#This Row],[Diskon]]</f>
        <v>1820000</v>
      </c>
    </row>
    <row r="148" spans="1:47">
      <c r="M148" s="126"/>
      <c r="N148" s="121" t="str">
        <f t="shared" si="176"/>
        <v/>
      </c>
      <c r="O148" s="122"/>
      <c r="Q148" s="3"/>
      <c r="W148" s="124"/>
      <c r="X148" s="124"/>
      <c r="AI148" s="65" t="str">
        <f>"Jumlah Beli"&amp;" "&amp;O54</f>
        <v>Jumlah Beli Ghost E</v>
      </c>
      <c r="AJ148" s="1">
        <f>P54/2</f>
        <v>10</v>
      </c>
      <c r="AK148" s="1">
        <f t="shared" ref="AK148:AP148" si="184">Q54/2</f>
        <v>5</v>
      </c>
      <c r="AL148" s="1">
        <f t="shared" si="184"/>
        <v>0</v>
      </c>
      <c r="AM148" s="1">
        <f t="shared" si="184"/>
        <v>20</v>
      </c>
      <c r="AN148" s="1">
        <f t="shared" si="184"/>
        <v>15</v>
      </c>
      <c r="AO148" s="1">
        <f t="shared" si="184"/>
        <v>0</v>
      </c>
      <c r="AP148" s="1">
        <f t="shared" si="184"/>
        <v>6</v>
      </c>
      <c r="AQ148" s="1">
        <f>SUM(AJ148:AP148)</f>
        <v>56</v>
      </c>
      <c r="AR148" s="66"/>
      <c r="AS148" s="66"/>
      <c r="AT148" s="66"/>
      <c r="AU148" s="66"/>
    </row>
    <row r="149" spans="1:47">
      <c r="M149" s="126"/>
      <c r="N149" s="121" t="str">
        <f t="shared" si="176"/>
        <v/>
      </c>
      <c r="O149" s="122"/>
      <c r="Q149" s="3"/>
      <c r="W149" s="124"/>
      <c r="X149" s="124"/>
      <c r="AI149" s="1" t="s">
        <v>138</v>
      </c>
      <c r="AJ149" s="1" cm="1">
        <f t="array" ref="AJ149">IFERROR(_xlfn.IFS(AJ148&lt;=10,17000,AJ148&lt;=30,15000,AJ148&lt;=50,14000,AJ148&lt;=100,13750),"")</f>
        <v>17000</v>
      </c>
      <c r="AK149" s="1" cm="1">
        <f t="array" ref="AK149">IFERROR(_xlfn.IFS(AK148&lt;=10,18000,AK148&lt;=30,17500,AK148&lt;=50,17000,AK148&lt;=100,16750),"")</f>
        <v>18000</v>
      </c>
      <c r="AL149" s="1" cm="1">
        <f t="array" ref="AL149">IFERROR(_xlfn.IFS(AL148&lt;=10,19500,AL148&lt;=30,19200,AL148&lt;=50,19000,AL148&lt;=100,18500),"")</f>
        <v>19500</v>
      </c>
      <c r="AM149" s="1" cm="1">
        <f t="array" ref="AM149">IFERROR(_xlfn.IFS(AM148&lt;=10,21000,AM148&lt;=30,20700,AM148&lt;=50,19800,AM148&lt;=100,18800),"")</f>
        <v>20700</v>
      </c>
      <c r="AN149" s="1" cm="1">
        <f t="array" ref="AN149">IFERROR(_xlfn.IFS(AN148&lt;=10,25000,AN148&lt;=30,23000,AN148&lt;=50,21000,AN148&lt;=100,20000),"")</f>
        <v>23000</v>
      </c>
      <c r="AO149" s="1" cm="1">
        <f t="array" ref="AO149">IFERROR(_xlfn.IFS(AO148&lt;=10,17000,AO148&lt;=30,15000,AO148&lt;=50,14000,AO148&lt;=100,13750),"")</f>
        <v>17000</v>
      </c>
      <c r="AP149" s="1" cm="1">
        <f t="array" ref="AP149">IFERROR(_xlfn.IFS(AP148&lt;=10,21000,AP148&lt;=30,20700,AP148&lt;=50,19800,AP148&lt;=100,18800),"")</f>
        <v>21000</v>
      </c>
      <c r="AQ149" s="1">
        <f>AVERAGE(AJ149:AP149)</f>
        <v>19457.142857142859</v>
      </c>
      <c r="AR149" s="66"/>
      <c r="AS149" s="66"/>
      <c r="AT149" s="66"/>
      <c r="AU149" s="66"/>
    </row>
    <row r="150" spans="1:47">
      <c r="M150" s="126"/>
      <c r="N150" s="121" t="str">
        <f t="shared" si="176"/>
        <v/>
      </c>
      <c r="O150" s="122"/>
      <c r="Q150" s="3"/>
      <c r="W150" s="124"/>
      <c r="X150" s="124"/>
      <c r="AI150" t="s">
        <v>139</v>
      </c>
      <c r="AJ150" s="1">
        <f>IFERROR(AJ148*AJ149,"")</f>
        <v>170000</v>
      </c>
      <c r="AK150" s="1">
        <f t="shared" ref="AK150:AP150" si="185">IFERROR(AK148*AK149,"")</f>
        <v>90000</v>
      </c>
      <c r="AL150" s="1">
        <f t="shared" si="185"/>
        <v>0</v>
      </c>
      <c r="AM150" s="1">
        <f t="shared" si="185"/>
        <v>414000</v>
      </c>
      <c r="AN150" s="1">
        <f t="shared" si="185"/>
        <v>345000</v>
      </c>
      <c r="AO150" s="1">
        <f t="shared" si="185"/>
        <v>0</v>
      </c>
      <c r="AP150" s="1">
        <f t="shared" si="185"/>
        <v>126000</v>
      </c>
      <c r="AQ150" s="3">
        <f>SUM(Penjualan[[#This Row],[KATUN]:[SUTRA]])</f>
        <v>1145000</v>
      </c>
      <c r="AR150" s="66">
        <f>AQ150*11%</f>
        <v>125950</v>
      </c>
      <c r="AS150" s="66">
        <f>Penjualan[[#This Row],[JUMLAH]]+Penjualan[[#This Row],[Pajak 11%]]</f>
        <v>1270950</v>
      </c>
      <c r="AT150" s="66">
        <v>20950</v>
      </c>
      <c r="AU150" s="66">
        <f>Penjualan[[#This Row],[Jumlah + Tax]]-Penjualan[[#This Row],[Diskon]]</f>
        <v>1250000</v>
      </c>
    </row>
    <row r="151" spans="1:47">
      <c r="M151" s="126"/>
      <c r="N151" s="121" t="str">
        <f t="shared" si="176"/>
        <v/>
      </c>
      <c r="O151" s="122"/>
      <c r="Q151" s="3"/>
      <c r="W151" s="124"/>
      <c r="X151" s="124"/>
      <c r="AI151" s="65" t="str">
        <f>"Jumlah Beli"&amp;" "&amp;O55</f>
        <v>Jumlah Beli Ghost F</v>
      </c>
      <c r="AJ151" s="42">
        <f>P55/2</f>
        <v>6</v>
      </c>
      <c r="AK151" s="42">
        <f t="shared" ref="AK151:AP151" si="186">Q55/2</f>
        <v>6</v>
      </c>
      <c r="AL151" s="42">
        <f t="shared" si="186"/>
        <v>25</v>
      </c>
      <c r="AM151" s="42">
        <f t="shared" si="186"/>
        <v>10</v>
      </c>
      <c r="AN151" s="42">
        <f t="shared" si="186"/>
        <v>0</v>
      </c>
      <c r="AO151" s="42">
        <f t="shared" si="186"/>
        <v>20</v>
      </c>
      <c r="AP151" s="42">
        <f t="shared" si="186"/>
        <v>20</v>
      </c>
      <c r="AQ151" s="1">
        <f>SUM(AJ151:AP151)</f>
        <v>87</v>
      </c>
      <c r="AR151" s="66"/>
      <c r="AS151" s="66"/>
      <c r="AT151" s="66"/>
      <c r="AU151" s="66"/>
    </row>
    <row r="152" spans="1:47">
      <c r="M152" s="126"/>
      <c r="N152" s="121" t="str">
        <f t="shared" si="176"/>
        <v/>
      </c>
      <c r="O152" s="122"/>
      <c r="Q152" s="3"/>
      <c r="W152" s="124"/>
      <c r="X152" s="124"/>
      <c r="AI152" s="1" t="s">
        <v>138</v>
      </c>
      <c r="AJ152" s="1" cm="1">
        <f t="array" ref="AJ152">IFERROR(_xlfn.IFS(AJ151&lt;=10,17000,AJ151&lt;=30,15000,AJ151&lt;=50,14000,AJ151&lt;=100,13750),"")</f>
        <v>17000</v>
      </c>
      <c r="AK152" s="1" cm="1">
        <f t="array" ref="AK152">IFERROR(_xlfn.IFS(AK151&lt;=10,18000,AK151&lt;=30,17500,AK151&lt;=50,17000,AK151&lt;=100,16750),"")</f>
        <v>18000</v>
      </c>
      <c r="AL152" s="1" cm="1">
        <f t="array" ref="AL152">IFERROR(_xlfn.IFS(AL151&lt;=10,19500,AL151&lt;=30,19200,AL151&lt;=50,19000,AL151&lt;=100,18500),"")</f>
        <v>19200</v>
      </c>
      <c r="AM152" s="1" cm="1">
        <f t="array" ref="AM152">IFERROR(_xlfn.IFS(AM151&lt;=10,21000,AM151&lt;=30,20700,AM151&lt;=50,19800,AM151&lt;=100,18800),"")</f>
        <v>21000</v>
      </c>
      <c r="AN152" s="1" cm="1">
        <f t="array" ref="AN152">IFERROR(_xlfn.IFS(AN151&lt;=10,25000,AN151&lt;=30,23000,AN151&lt;=50,21000,AN151&lt;=100,20000),"")</f>
        <v>25000</v>
      </c>
      <c r="AO152" s="1" cm="1">
        <f t="array" ref="AO152">IFERROR(_xlfn.IFS(AO151&lt;=10,17000,AO151&lt;=30,15000,AO151&lt;=50,14000,AO151&lt;=100,13750),"")</f>
        <v>15000</v>
      </c>
      <c r="AP152" s="1" cm="1">
        <f t="array" ref="AP152">IFERROR(_xlfn.IFS(AP151&lt;=10,21000,AP151&lt;=30,20700,AP151&lt;=50,19800,AP151&lt;=100,18800),"")</f>
        <v>20700</v>
      </c>
      <c r="AQ152" s="1">
        <v>1687.2727272727275</v>
      </c>
      <c r="AR152" s="66"/>
      <c r="AS152" s="66"/>
      <c r="AT152" s="66"/>
      <c r="AU152" s="66"/>
    </row>
    <row r="153" spans="1:47">
      <c r="M153" s="126"/>
      <c r="N153" s="121" t="str">
        <f t="shared" si="176"/>
        <v/>
      </c>
      <c r="O153" s="122"/>
      <c r="Q153" s="3"/>
      <c r="W153" s="124"/>
      <c r="X153" s="124"/>
      <c r="AI153" t="s">
        <v>139</v>
      </c>
      <c r="AJ153" s="1">
        <f>IFERROR(AJ151*AJ152,"")</f>
        <v>102000</v>
      </c>
      <c r="AK153" s="1">
        <f t="shared" ref="AK153:AP153" si="187">IFERROR(AK151*AK152,"")</f>
        <v>108000</v>
      </c>
      <c r="AL153" s="1">
        <f t="shared" si="187"/>
        <v>480000</v>
      </c>
      <c r="AM153" s="1">
        <f t="shared" si="187"/>
        <v>210000</v>
      </c>
      <c r="AN153" s="1">
        <f t="shared" si="187"/>
        <v>0</v>
      </c>
      <c r="AO153" s="1">
        <f t="shared" si="187"/>
        <v>300000</v>
      </c>
      <c r="AP153" s="1">
        <f t="shared" si="187"/>
        <v>414000</v>
      </c>
      <c r="AQ153" s="3">
        <f>SUM(Penjualan[[#This Row],[KATUN]:[SUTRA]])</f>
        <v>1614000</v>
      </c>
      <c r="AR153" s="66">
        <f>AQ153*11%</f>
        <v>177540</v>
      </c>
      <c r="AS153" s="66">
        <f>Penjualan[[#This Row],[JUMLAH]]+Penjualan[[#This Row],[Pajak 11%]]</f>
        <v>1791540</v>
      </c>
      <c r="AT153" s="66">
        <v>21540</v>
      </c>
      <c r="AU153" s="66">
        <f>Penjualan[[#This Row],[Jumlah + Tax]]-Penjualan[[#This Row],[Diskon]]</f>
        <v>1770000</v>
      </c>
    </row>
    <row r="154" spans="1:47">
      <c r="M154" s="126"/>
      <c r="N154" s="121" t="str">
        <f t="shared" si="176"/>
        <v/>
      </c>
      <c r="O154" s="122"/>
      <c r="Q154" s="3"/>
      <c r="W154" s="124"/>
      <c r="X154" s="124"/>
      <c r="AI154" s="65" t="str">
        <f>"Jumlah Beli"&amp;" "&amp;O56</f>
        <v>Jumlah Beli Ghost G</v>
      </c>
      <c r="AJ154" s="42">
        <f>P56/2</f>
        <v>0</v>
      </c>
      <c r="AK154" s="42">
        <f t="shared" ref="AK154:AP154" si="188">Q56/2</f>
        <v>20</v>
      </c>
      <c r="AL154" s="42">
        <f t="shared" si="188"/>
        <v>0</v>
      </c>
      <c r="AM154" s="42">
        <f t="shared" si="188"/>
        <v>15</v>
      </c>
      <c r="AN154" s="42">
        <f t="shared" si="188"/>
        <v>6</v>
      </c>
      <c r="AO154" s="42">
        <f t="shared" si="188"/>
        <v>10</v>
      </c>
      <c r="AP154" s="42">
        <f t="shared" si="188"/>
        <v>10</v>
      </c>
      <c r="AQ154" s="1">
        <f>SUM(AJ154:AP154)</f>
        <v>61</v>
      </c>
      <c r="AR154" s="66"/>
      <c r="AS154" s="66"/>
      <c r="AT154" s="66"/>
      <c r="AU154" s="66"/>
    </row>
    <row r="155" spans="1:47">
      <c r="M155" s="126"/>
      <c r="N155" s="121" t="str">
        <f t="shared" si="176"/>
        <v/>
      </c>
      <c r="O155" s="122"/>
      <c r="Q155" s="3"/>
      <c r="W155" s="124"/>
      <c r="X155" s="124"/>
      <c r="AI155" s="1" t="s">
        <v>138</v>
      </c>
      <c r="AJ155" s="1" cm="1">
        <f t="array" ref="AJ155">IFERROR(_xlfn.IFS(AJ154&lt;=10,17000,AJ154&lt;=30,15000,AJ154&lt;=50,14000,AJ154&lt;=100,13750),"")</f>
        <v>17000</v>
      </c>
      <c r="AK155" s="1" cm="1">
        <f t="array" ref="AK155">IFERROR(_xlfn.IFS(AK154&lt;=10,18000,AK154&lt;=30,17500,AK154&lt;=50,17000,AK154&lt;=100,16750),"")</f>
        <v>17500</v>
      </c>
      <c r="AL155" s="1" cm="1">
        <f t="array" ref="AL155">IFERROR(_xlfn.IFS(AL154&lt;=10,19500,AL154&lt;=30,19200,AL154&lt;=50,19000,AL154&lt;=100,18500),"")</f>
        <v>19500</v>
      </c>
      <c r="AM155" s="1" cm="1">
        <f t="array" ref="AM155">IFERROR(_xlfn.IFS(AM154&lt;=10,21000,AM154&lt;=30,20700,AM154&lt;=50,19800,AM154&lt;=100,18800),"")</f>
        <v>20700</v>
      </c>
      <c r="AN155" s="1" cm="1">
        <f t="array" ref="AN155">IFERROR(_xlfn.IFS(AN154&lt;=10,25000,AN154&lt;=30,23000,AN154&lt;=50,21000,AN154&lt;=100,20000),"")</f>
        <v>25000</v>
      </c>
      <c r="AO155" s="1" cm="1">
        <f t="array" ref="AO155">IFERROR(_xlfn.IFS(AO154&lt;=10,17000,AO154&lt;=30,15000,AO154&lt;=50,14000,AO154&lt;=100,13750),"")</f>
        <v>17000</v>
      </c>
      <c r="AP155" s="1" cm="1">
        <f t="array" ref="AP155">IFERROR(_xlfn.IFS(AP154&lt;=10,21000,AP154&lt;=30,20700,AP154&lt;=50,19800,AP154&lt;=100,18800),"")</f>
        <v>21000</v>
      </c>
      <c r="AQ155" s="1">
        <v>1687.2727272727275</v>
      </c>
      <c r="AR155" s="66"/>
      <c r="AS155" s="66"/>
      <c r="AT155" s="66"/>
      <c r="AU155" s="66"/>
    </row>
    <row r="156" spans="1:47">
      <c r="M156" s="126"/>
      <c r="N156" s="121" t="str">
        <f t="shared" si="176"/>
        <v/>
      </c>
      <c r="O156" s="122"/>
      <c r="Q156" s="3"/>
      <c r="W156" s="124"/>
      <c r="X156" s="124"/>
      <c r="AI156" t="s">
        <v>139</v>
      </c>
      <c r="AJ156" s="1">
        <f>IFERROR(AJ154*AJ155,"")</f>
        <v>0</v>
      </c>
      <c r="AK156" s="1">
        <f t="shared" ref="AK156:AP156" si="189">IFERROR(AK154*AK155,"")</f>
        <v>350000</v>
      </c>
      <c r="AL156" s="1">
        <f t="shared" si="189"/>
        <v>0</v>
      </c>
      <c r="AM156" s="1">
        <f t="shared" si="189"/>
        <v>310500</v>
      </c>
      <c r="AN156" s="1">
        <f t="shared" si="189"/>
        <v>150000</v>
      </c>
      <c r="AO156" s="1">
        <f t="shared" si="189"/>
        <v>170000</v>
      </c>
      <c r="AP156" s="1">
        <f t="shared" si="189"/>
        <v>210000</v>
      </c>
      <c r="AQ156" s="3">
        <f>SUM(Penjualan[[#This Row],[KATUN]:[SUTRA]])</f>
        <v>1190500</v>
      </c>
      <c r="AR156" s="66">
        <f>AQ156*11%</f>
        <v>130955</v>
      </c>
      <c r="AS156" s="66">
        <f>Penjualan[[#This Row],[JUMLAH]]+Penjualan[[#This Row],[Pajak 11%]]</f>
        <v>1321455</v>
      </c>
      <c r="AT156" s="66">
        <v>21455</v>
      </c>
      <c r="AU156" s="66">
        <f>Penjualan[[#This Row],[Jumlah + Tax]]-Penjualan[[#This Row],[Diskon]]</f>
        <v>1300000</v>
      </c>
    </row>
    <row r="157" spans="1:47">
      <c r="M157" s="126"/>
      <c r="N157" s="121" t="str">
        <f t="shared" si="176"/>
        <v/>
      </c>
      <c r="O157" s="122"/>
      <c r="Q157" s="3"/>
      <c r="W157" s="124"/>
      <c r="X157" s="124"/>
    </row>
    <row r="158" spans="1:47">
      <c r="M158" s="126"/>
      <c r="N158" s="121" t="str">
        <f t="shared" si="176"/>
        <v/>
      </c>
      <c r="O158" s="122"/>
      <c r="Q158" s="3"/>
      <c r="W158" s="124"/>
      <c r="X158" s="124"/>
    </row>
    <row r="159" spans="1:47" ht="18.75">
      <c r="A159" s="131"/>
      <c r="B159" s="131"/>
      <c r="C159" s="131"/>
      <c r="D159" s="140">
        <f>SUBTOTAL(109,D8:D158)</f>
        <v>1659</v>
      </c>
      <c r="E159" s="140">
        <f t="shared" ref="E159:J159" si="190">SUBTOTAL(109,E8:E158)</f>
        <v>1079</v>
      </c>
      <c r="F159" s="140">
        <f t="shared" si="190"/>
        <v>1334.5</v>
      </c>
      <c r="G159" s="140">
        <f t="shared" si="190"/>
        <v>2079</v>
      </c>
      <c r="H159" s="140">
        <f t="shared" si="190"/>
        <v>1142.5</v>
      </c>
      <c r="I159" s="140">
        <f t="shared" si="190"/>
        <v>1252.5</v>
      </c>
      <c r="J159" s="140">
        <f t="shared" si="190"/>
        <v>991</v>
      </c>
      <c r="K159" s="131"/>
      <c r="L159" s="133"/>
      <c r="M159" s="52" t="s">
        <v>248</v>
      </c>
      <c r="N159" s="136"/>
      <c r="O159" s="137"/>
      <c r="P159" s="250">
        <f>SUBTOTAL(109,P8:P158)-D29</f>
        <v>1361</v>
      </c>
      <c r="Q159" s="250">
        <f t="shared" ref="Q159:V159" si="191">SUBTOTAL(109,Q8:Q158)-E29</f>
        <v>863</v>
      </c>
      <c r="R159" s="250">
        <f t="shared" si="191"/>
        <v>1056.5</v>
      </c>
      <c r="S159" s="250">
        <f t="shared" si="191"/>
        <v>1541</v>
      </c>
      <c r="T159" s="250">
        <f t="shared" si="191"/>
        <v>848.5</v>
      </c>
      <c r="U159" s="250">
        <f t="shared" si="191"/>
        <v>996.5</v>
      </c>
      <c r="V159" s="250">
        <f t="shared" si="191"/>
        <v>775</v>
      </c>
      <c r="W159" s="137"/>
      <c r="X159" s="138">
        <f>SUM(X9:X31)</f>
        <v>15440040.013011882</v>
      </c>
    </row>
    <row r="160" spans="1:47" ht="18.75">
      <c r="A160" s="132" t="s">
        <v>133</v>
      </c>
      <c r="B160" s="132"/>
      <c r="C160" s="132"/>
      <c r="D160" s="134"/>
      <c r="E160" s="134"/>
      <c r="F160" s="134"/>
      <c r="G160" s="134"/>
      <c r="H160" s="134"/>
      <c r="I160" s="134"/>
      <c r="J160" s="134"/>
      <c r="K160" s="133"/>
      <c r="L160" s="135">
        <f>L159/SUM(D159:J159)</f>
        <v>0</v>
      </c>
      <c r="M160" s="51" t="s">
        <v>247</v>
      </c>
      <c r="N160" s="139"/>
      <c r="O160" s="137"/>
      <c r="P160" s="139">
        <f t="shared" ref="P160:V160" si="192">D159-P159</f>
        <v>298</v>
      </c>
      <c r="Q160" s="139">
        <f t="shared" si="192"/>
        <v>216</v>
      </c>
      <c r="R160" s="139">
        <f t="shared" si="192"/>
        <v>278</v>
      </c>
      <c r="S160" s="139">
        <f t="shared" si="192"/>
        <v>538</v>
      </c>
      <c r="T160" s="139">
        <f t="shared" si="192"/>
        <v>294</v>
      </c>
      <c r="U160" s="238">
        <f>I159-U159</f>
        <v>256</v>
      </c>
      <c r="V160" s="139">
        <f t="shared" si="192"/>
        <v>216</v>
      </c>
      <c r="W160" s="137"/>
      <c r="X160" s="137"/>
    </row>
    <row r="162" spans="1:19" ht="15.75">
      <c r="M162" s="43" t="s">
        <v>108</v>
      </c>
      <c r="N162" s="43" t="s">
        <v>110</v>
      </c>
    </row>
    <row r="163" spans="1:19" ht="15.75">
      <c r="A163" s="58" t="s">
        <v>88</v>
      </c>
      <c r="B163" s="141" t="s">
        <v>373</v>
      </c>
      <c r="C163" s="59" t="s">
        <v>89</v>
      </c>
      <c r="D163" s="59" t="s">
        <v>71</v>
      </c>
      <c r="E163" s="59" t="s">
        <v>72</v>
      </c>
      <c r="F163" s="59" t="s">
        <v>73</v>
      </c>
      <c r="G163" s="59" t="s">
        <v>74</v>
      </c>
      <c r="H163" s="59" t="s">
        <v>75</v>
      </c>
      <c r="I163" s="59" t="s">
        <v>76</v>
      </c>
      <c r="J163" s="60" t="s">
        <v>77</v>
      </c>
      <c r="K163" t="str" cm="1">
        <f t="array" ref="K163:K170">_xlfn.UNIQUE(C8:C34)</f>
        <v>SYAFIQ</v>
      </c>
      <c r="M163" s="44">
        <v>8000</v>
      </c>
      <c r="N163" s="44">
        <v>100</v>
      </c>
      <c r="O163" s="1">
        <f>M163*N163</f>
        <v>800000</v>
      </c>
    </row>
    <row r="164" spans="1:19" ht="15.75">
      <c r="A164" s="55">
        <v>1</v>
      </c>
      <c r="B164" s="55">
        <v>1</v>
      </c>
      <c r="C164" s="41" t="s">
        <v>78</v>
      </c>
      <c r="D164" s="42">
        <v>4500</v>
      </c>
      <c r="E164" s="42">
        <v>6700</v>
      </c>
      <c r="F164" s="42">
        <v>6300</v>
      </c>
      <c r="G164" s="42">
        <v>5800</v>
      </c>
      <c r="H164" s="42">
        <v>7500</v>
      </c>
      <c r="I164" s="42">
        <v>2500</v>
      </c>
      <c r="J164" s="56">
        <v>10000</v>
      </c>
      <c r="K164" t="str">
        <v>PT KAIN HATI (QOLBI)</v>
      </c>
      <c r="L164" s="40" t="s">
        <v>71</v>
      </c>
      <c r="M164" s="44">
        <v>7500</v>
      </c>
      <c r="N164" s="44">
        <v>100</v>
      </c>
      <c r="O164" s="1">
        <f t="shared" ref="O164:O169" si="193">M164*N164</f>
        <v>750000</v>
      </c>
      <c r="R164" s="1"/>
    </row>
    <row r="165" spans="1:19" ht="15.75">
      <c r="A165" s="55"/>
      <c r="B165" s="55">
        <v>2</v>
      </c>
      <c r="C165" s="41" t="s">
        <v>78</v>
      </c>
      <c r="D165" s="42">
        <v>5000</v>
      </c>
      <c r="E165" s="42">
        <v>7000</v>
      </c>
      <c r="F165" s="42">
        <v>7000</v>
      </c>
      <c r="G165" s="42">
        <v>6000</v>
      </c>
      <c r="H165" s="42">
        <v>8000</v>
      </c>
      <c r="I165" s="42">
        <v>3000</v>
      </c>
      <c r="J165" s="56">
        <v>10000</v>
      </c>
      <c r="K165" t="str">
        <v>AHSAN JAYA BERKARYA</v>
      </c>
      <c r="L165" s="40" t="s">
        <v>72</v>
      </c>
      <c r="M165" s="44">
        <v>8000</v>
      </c>
      <c r="N165" s="44">
        <v>100</v>
      </c>
      <c r="O165" s="1">
        <f t="shared" si="193"/>
        <v>800000</v>
      </c>
      <c r="R165" s="1"/>
    </row>
    <row r="166" spans="1:19" ht="15.75">
      <c r="A166" s="55">
        <v>2</v>
      </c>
      <c r="B166" s="55">
        <v>3</v>
      </c>
      <c r="C166" s="41" t="s">
        <v>79</v>
      </c>
      <c r="D166" s="42">
        <v>4000</v>
      </c>
      <c r="E166" s="42">
        <v>5000</v>
      </c>
      <c r="F166" s="42">
        <v>4000</v>
      </c>
      <c r="G166" s="42">
        <v>3000</v>
      </c>
      <c r="H166" s="42">
        <v>6000</v>
      </c>
      <c r="I166" s="42">
        <v>3000</v>
      </c>
      <c r="J166" s="56">
        <v>7000</v>
      </c>
      <c r="K166" t="str">
        <v>PD KAIN (ASWIN)</v>
      </c>
      <c r="L166" s="40" t="s">
        <v>73</v>
      </c>
      <c r="M166" s="45">
        <v>8000</v>
      </c>
      <c r="N166" s="44">
        <v>100</v>
      </c>
      <c r="O166" s="1">
        <f t="shared" si="193"/>
        <v>800000</v>
      </c>
      <c r="R166" s="1"/>
    </row>
    <row r="167" spans="1:19" ht="15.75">
      <c r="A167" s="55">
        <v>3</v>
      </c>
      <c r="B167" s="55">
        <v>4</v>
      </c>
      <c r="C167" s="41" t="s">
        <v>80</v>
      </c>
      <c r="D167" s="42">
        <v>5000</v>
      </c>
      <c r="E167" s="42">
        <v>7500</v>
      </c>
      <c r="F167" s="42">
        <v>10000</v>
      </c>
      <c r="G167" s="42">
        <v>5000</v>
      </c>
      <c r="H167" s="42">
        <v>7500</v>
      </c>
      <c r="I167" s="42">
        <v>2500</v>
      </c>
      <c r="J167" s="56">
        <v>7500</v>
      </c>
      <c r="K167" t="str">
        <v>BY LAV (ANDILA)</v>
      </c>
      <c r="L167" s="40" t="s">
        <v>74</v>
      </c>
      <c r="M167" s="45">
        <v>8000</v>
      </c>
      <c r="N167" s="44">
        <v>100</v>
      </c>
      <c r="O167" s="1">
        <f t="shared" si="193"/>
        <v>800000</v>
      </c>
      <c r="R167" s="1"/>
    </row>
    <row r="168" spans="1:19" ht="15.75">
      <c r="A168" s="55">
        <v>4</v>
      </c>
      <c r="B168" s="55">
        <v>5</v>
      </c>
      <c r="C168" s="41" t="s">
        <v>81</v>
      </c>
      <c r="D168" s="42">
        <v>2000</v>
      </c>
      <c r="E168" s="42">
        <v>10000</v>
      </c>
      <c r="F168" s="42">
        <v>4000</v>
      </c>
      <c r="G168" s="42">
        <v>2000</v>
      </c>
      <c r="H168" s="42">
        <v>6000</v>
      </c>
      <c r="I168" s="42">
        <v>3500</v>
      </c>
      <c r="J168" s="56">
        <v>7000</v>
      </c>
      <c r="K168" t="str">
        <v>TRUE TRHEAD(SAMUEL)</v>
      </c>
      <c r="L168" s="40" t="s">
        <v>75</v>
      </c>
      <c r="M168" s="45">
        <v>5000</v>
      </c>
      <c r="N168" s="44">
        <v>100</v>
      </c>
      <c r="O168" s="1">
        <f t="shared" si="193"/>
        <v>500000</v>
      </c>
      <c r="R168" s="1"/>
    </row>
    <row r="169" spans="1:19" ht="15.75">
      <c r="A169" s="55">
        <v>5</v>
      </c>
      <c r="B169" s="55">
        <v>6</v>
      </c>
      <c r="C169" s="41" t="s">
        <v>82</v>
      </c>
      <c r="D169" s="42">
        <v>10000</v>
      </c>
      <c r="E169" s="42">
        <v>5000</v>
      </c>
      <c r="F169" s="42">
        <v>10000</v>
      </c>
      <c r="G169" s="42">
        <v>5000</v>
      </c>
      <c r="H169" s="42">
        <v>10000</v>
      </c>
      <c r="I169" s="42">
        <v>5000</v>
      </c>
      <c r="J169" s="56">
        <v>20000</v>
      </c>
      <c r="K169" t="str">
        <v>TOKO FADH (HUSNA)</v>
      </c>
      <c r="L169" s="40" t="s">
        <v>76</v>
      </c>
      <c r="M169" s="45">
        <v>10000</v>
      </c>
      <c r="N169" s="44">
        <v>100</v>
      </c>
      <c r="O169" s="1">
        <f t="shared" si="193"/>
        <v>1000000</v>
      </c>
      <c r="R169" s="1"/>
    </row>
    <row r="170" spans="1:19" ht="15.75">
      <c r="A170" s="55">
        <v>6</v>
      </c>
      <c r="B170" s="55">
        <v>7</v>
      </c>
      <c r="C170" s="41" t="s">
        <v>83</v>
      </c>
      <c r="D170" s="42">
        <v>4500</v>
      </c>
      <c r="E170" s="42">
        <v>8500</v>
      </c>
      <c r="F170" s="42">
        <v>5000</v>
      </c>
      <c r="G170" s="42">
        <v>4000</v>
      </c>
      <c r="H170" s="42">
        <v>7500</v>
      </c>
      <c r="I170" s="42">
        <v>5500</v>
      </c>
      <c r="J170" s="56">
        <v>10000</v>
      </c>
      <c r="K170" t="str">
        <v>RETUR</v>
      </c>
      <c r="L170" s="40" t="s">
        <v>77</v>
      </c>
      <c r="N170" s="3">
        <f>SUM(N163:N169)</f>
        <v>700</v>
      </c>
      <c r="O170" s="3">
        <f>SUM(O163:O169)</f>
        <v>5450000</v>
      </c>
      <c r="R170" s="54"/>
      <c r="S170" s="3"/>
    </row>
    <row r="171" spans="1:19">
      <c r="A171" s="55">
        <v>7</v>
      </c>
      <c r="B171" s="55">
        <v>8</v>
      </c>
      <c r="C171" s="41" t="s">
        <v>84</v>
      </c>
      <c r="D171" s="42">
        <v>5000</v>
      </c>
      <c r="E171" s="42">
        <v>8000</v>
      </c>
      <c r="F171" s="42">
        <v>4000</v>
      </c>
      <c r="G171" s="42">
        <v>3000</v>
      </c>
      <c r="H171" s="42">
        <v>8000</v>
      </c>
      <c r="I171" s="42">
        <v>6000</v>
      </c>
      <c r="J171" s="56">
        <v>10000</v>
      </c>
      <c r="M171" s="45">
        <v>500000</v>
      </c>
      <c r="R171" s="4"/>
    </row>
    <row r="172" spans="1:19" ht="15.75">
      <c r="A172" s="55">
        <v>8</v>
      </c>
      <c r="B172" s="55">
        <v>9</v>
      </c>
      <c r="C172" s="41" t="s">
        <v>85</v>
      </c>
      <c r="D172" s="42">
        <v>10000</v>
      </c>
      <c r="E172" s="42">
        <v>10000</v>
      </c>
      <c r="F172" s="42">
        <v>10000</v>
      </c>
      <c r="G172" s="42">
        <v>5000</v>
      </c>
      <c r="H172" s="42">
        <v>15000</v>
      </c>
      <c r="I172" s="42">
        <v>5000</v>
      </c>
      <c r="J172" s="56">
        <v>15000</v>
      </c>
      <c r="L172" s="43" t="s">
        <v>109</v>
      </c>
    </row>
    <row r="173" spans="1:19">
      <c r="A173" s="55">
        <v>9</v>
      </c>
      <c r="B173" s="55">
        <v>10</v>
      </c>
      <c r="C173" s="41" t="s">
        <v>86</v>
      </c>
      <c r="D173" s="42">
        <v>3500</v>
      </c>
      <c r="E173" s="42">
        <v>4000</v>
      </c>
      <c r="F173" s="42">
        <v>3500</v>
      </c>
      <c r="G173" s="42">
        <v>2500</v>
      </c>
      <c r="H173" s="42">
        <v>4000</v>
      </c>
      <c r="I173" s="42">
        <v>2000</v>
      </c>
      <c r="J173" s="56">
        <v>5500</v>
      </c>
    </row>
    <row r="174" spans="1:19">
      <c r="A174" s="55">
        <v>10</v>
      </c>
      <c r="B174" s="55">
        <v>11</v>
      </c>
      <c r="C174" s="41" t="s">
        <v>87</v>
      </c>
      <c r="D174" s="42">
        <v>3000</v>
      </c>
      <c r="E174" s="42">
        <v>3500</v>
      </c>
      <c r="F174" s="42"/>
      <c r="G174" s="42">
        <v>2000</v>
      </c>
      <c r="H174" s="42">
        <v>4000</v>
      </c>
      <c r="I174" s="42"/>
      <c r="J174" s="56">
        <v>5000</v>
      </c>
    </row>
    <row r="175" spans="1:19">
      <c r="A175" s="55">
        <v>11</v>
      </c>
      <c r="B175" s="55">
        <v>12</v>
      </c>
      <c r="C175" s="41" t="s">
        <v>111</v>
      </c>
      <c r="D175" s="46">
        <v>10000</v>
      </c>
      <c r="E175" s="46">
        <v>10000</v>
      </c>
      <c r="F175" s="46">
        <v>15000</v>
      </c>
      <c r="G175" s="46">
        <v>5000</v>
      </c>
      <c r="H175" s="46">
        <v>15000</v>
      </c>
      <c r="I175" s="46">
        <v>10000</v>
      </c>
      <c r="J175" s="57">
        <v>15000</v>
      </c>
    </row>
    <row r="176" spans="1:19">
      <c r="A176" s="61">
        <v>12</v>
      </c>
      <c r="B176" s="55">
        <v>13</v>
      </c>
      <c r="C176" s="62" t="s">
        <v>372</v>
      </c>
      <c r="D176" s="63">
        <v>8000</v>
      </c>
      <c r="E176" s="63">
        <v>7000</v>
      </c>
      <c r="F176" s="63">
        <v>10000</v>
      </c>
      <c r="G176" s="63">
        <v>7000</v>
      </c>
      <c r="H176" s="63">
        <v>8000</v>
      </c>
      <c r="I176" s="63">
        <v>5000</v>
      </c>
      <c r="J176" s="64">
        <v>15000</v>
      </c>
    </row>
    <row r="177" spans="1:14">
      <c r="A177" s="55"/>
      <c r="B177" s="55">
        <v>14</v>
      </c>
      <c r="C177" s="62" t="s">
        <v>372</v>
      </c>
      <c r="D177" s="46">
        <v>4000</v>
      </c>
      <c r="E177" s="46">
        <v>4500</v>
      </c>
      <c r="F177" s="46">
        <v>2000</v>
      </c>
      <c r="G177" s="46">
        <v>5000</v>
      </c>
      <c r="H177" s="46">
        <v>6000</v>
      </c>
      <c r="I177" s="46">
        <v>3000</v>
      </c>
      <c r="J177" s="57">
        <v>7000</v>
      </c>
    </row>
    <row r="178" spans="1:14">
      <c r="L178" t="s">
        <v>86</v>
      </c>
      <c r="N178" s="1">
        <f>SUMIF($C$8:$C$49,L178,$L$8:$L$49)</f>
        <v>6915000</v>
      </c>
    </row>
    <row r="179" spans="1:14" ht="15.75">
      <c r="A179" s="40" t="s">
        <v>71</v>
      </c>
      <c r="B179" s="43"/>
      <c r="C179" s="4" t="s">
        <v>90</v>
      </c>
      <c r="L179" t="s">
        <v>78</v>
      </c>
      <c r="N179" s="1">
        <f t="shared" ref="N179:N184" si="194">SUMIF($C$8:$C$49,L179,$L$8:$L$49)</f>
        <v>5466500</v>
      </c>
    </row>
    <row r="180" spans="1:14">
      <c r="C180" s="4" t="s">
        <v>91</v>
      </c>
      <c r="L180" t="s">
        <v>372</v>
      </c>
      <c r="N180" s="1">
        <f t="shared" si="194"/>
        <v>1520000</v>
      </c>
    </row>
    <row r="181" spans="1:14">
      <c r="C181" s="4" t="s">
        <v>92</v>
      </c>
      <c r="L181" t="s">
        <v>87</v>
      </c>
      <c r="N181" s="1">
        <f t="shared" si="194"/>
        <v>2895000</v>
      </c>
    </row>
    <row r="182" spans="1:14" ht="15.75">
      <c r="A182" s="40" t="s">
        <v>72</v>
      </c>
      <c r="B182" s="43"/>
      <c r="C182" s="4" t="s">
        <v>93</v>
      </c>
      <c r="L182" t="s">
        <v>81</v>
      </c>
      <c r="N182" s="1">
        <f t="shared" si="194"/>
        <v>8930000</v>
      </c>
    </row>
    <row r="183" spans="1:14">
      <c r="C183" s="4" t="s">
        <v>94</v>
      </c>
      <c r="L183" t="s">
        <v>84</v>
      </c>
      <c r="N183" s="1">
        <f t="shared" si="194"/>
        <v>6370000</v>
      </c>
    </row>
    <row r="184" spans="1:14">
      <c r="C184" s="4" t="s">
        <v>95</v>
      </c>
      <c r="L184" t="s">
        <v>79</v>
      </c>
      <c r="N184" s="1">
        <f t="shared" si="194"/>
        <v>7010000</v>
      </c>
    </row>
    <row r="185" spans="1:14" ht="15.75">
      <c r="A185" s="40" t="s">
        <v>73</v>
      </c>
      <c r="B185" s="43"/>
      <c r="C185" t="s">
        <v>96</v>
      </c>
      <c r="L185" t="s">
        <v>378</v>
      </c>
    </row>
    <row r="186" spans="1:14">
      <c r="C186" t="s">
        <v>97</v>
      </c>
    </row>
    <row r="187" spans="1:14">
      <c r="C187" t="s">
        <v>98</v>
      </c>
    </row>
    <row r="188" spans="1:14" ht="15.75">
      <c r="A188" s="40" t="s">
        <v>74</v>
      </c>
      <c r="B188" s="43"/>
      <c r="C188" t="s">
        <v>99</v>
      </c>
    </row>
    <row r="189" spans="1:14">
      <c r="C189" t="s">
        <v>100</v>
      </c>
    </row>
    <row r="190" spans="1:14">
      <c r="C190" t="s">
        <v>101</v>
      </c>
    </row>
    <row r="191" spans="1:14" ht="15.75">
      <c r="A191" s="40" t="s">
        <v>75</v>
      </c>
      <c r="B191" s="43"/>
      <c r="C191" t="s">
        <v>102</v>
      </c>
    </row>
    <row r="192" spans="1:14">
      <c r="C192" t="s">
        <v>100</v>
      </c>
    </row>
    <row r="193" spans="1:3">
      <c r="C193" t="s">
        <v>103</v>
      </c>
    </row>
    <row r="194" spans="1:3" ht="15.75">
      <c r="A194" s="40" t="s">
        <v>76</v>
      </c>
      <c r="B194" s="43"/>
      <c r="C194" t="s">
        <v>104</v>
      </c>
    </row>
    <row r="195" spans="1:3">
      <c r="C195" t="s">
        <v>97</v>
      </c>
    </row>
    <row r="196" spans="1:3">
      <c r="C196" t="s">
        <v>105</v>
      </c>
    </row>
    <row r="197" spans="1:3" ht="15.75">
      <c r="A197" s="40" t="s">
        <v>77</v>
      </c>
      <c r="B197" s="43"/>
      <c r="C197" t="s">
        <v>106</v>
      </c>
    </row>
    <row r="198" spans="1:3">
      <c r="C198" t="s">
        <v>97</v>
      </c>
    </row>
    <row r="199" spans="1:3">
      <c r="C199" t="s">
        <v>107</v>
      </c>
    </row>
  </sheetData>
  <conditionalFormatting sqref="B8:B49 N8:N158 B76:B160 B163:B199">
    <cfRule type="containsText" dxfId="28" priority="83" operator="containsText" text="Mar">
      <formula>NOT(ISERROR(SEARCH("Mar",B8)))</formula>
    </cfRule>
    <cfRule type="containsText" dxfId="27" priority="81" operator="containsText" text="May">
      <formula>NOT(ISERROR(SEARCH("May",B8)))</formula>
    </cfRule>
    <cfRule type="containsText" dxfId="26" priority="80" operator="containsText" text="Jun">
      <formula>NOT(ISERROR(SEARCH("Jun",B8)))</formula>
    </cfRule>
    <cfRule type="containsText" dxfId="25" priority="82" operator="containsText" text="Apr">
      <formula>NOT(ISERROR(SEARCH("Apr",B8)))</formula>
    </cfRule>
    <cfRule type="containsText" dxfId="24" priority="84" operator="containsText" text="Feb">
      <formula>NOT(ISERROR(SEARCH("Feb",B8)))</formula>
    </cfRule>
    <cfRule type="containsText" dxfId="23" priority="85" operator="containsText" text="Jan">
      <formula>NOT(ISERROR(SEARCH("Jan",B8)))</formula>
    </cfRule>
  </conditionalFormatting>
  <conditionalFormatting sqref="C8:C158">
    <cfRule type="containsText" dxfId="22" priority="64" operator="containsText" text="SYAFIQ">
      <formula>NOT(ISERROR(SEARCH("SYAFIQ",C8)))</formula>
    </cfRule>
    <cfRule type="containsText" dxfId="21" priority="63" operator="containsText" text="PT KAIN">
      <formula>NOT(ISERROR(SEARCH("PT KAIN",C8)))</formula>
    </cfRule>
    <cfRule type="containsText" dxfId="20" priority="60" operator="containsText" text="BY LAV">
      <formula>NOT(ISERROR(SEARCH("BY LAV",C8)))</formula>
    </cfRule>
    <cfRule type="containsText" dxfId="19" priority="61" operator="containsText" text="PD KAIN">
      <formula>NOT(ISERROR(SEARCH("PD KAIN",C8)))</formula>
    </cfRule>
    <cfRule type="containsText" dxfId="18" priority="57" operator="containsText" text="RETUR">
      <formula>NOT(ISERROR(SEARCH("RETUR",C8)))</formula>
    </cfRule>
    <cfRule type="containsText" dxfId="17" priority="58" operator="containsText" text="TRUE">
      <formula>NOT(ISERROR(SEARCH("TRUE",C8)))</formula>
    </cfRule>
    <cfRule type="containsText" dxfId="16" priority="59" operator="containsText" text="TOKO">
      <formula>NOT(ISERROR(SEARCH("TOKO",C8)))</formula>
    </cfRule>
  </conditionalFormatting>
  <conditionalFormatting sqref="C8:O28 C29:K29 C30:O40 C40:C42 C43:J44 C45:L49 C50:O158 E41:J42 D42:J42 K41:O43 K44:L44 M29:O29 M44:O49">
    <cfRule type="containsText" dxfId="15" priority="62" operator="containsText" text="AHSAN">
      <formula>NOT(ISERROR(SEARCH("AHSAN",C8)))</formula>
    </cfRule>
  </conditionalFormatting>
  <conditionalFormatting sqref="D8:J158">
    <cfRule type="colorScale" priority="11">
      <colorScale>
        <cfvo type="min"/>
        <cfvo type="percentile" val="50"/>
        <cfvo type="max"/>
        <color rgb="FFF8696B"/>
        <color rgb="FFFFEB84"/>
        <color rgb="FF63BE7B"/>
      </colorScale>
    </cfRule>
  </conditionalFormatting>
  <conditionalFormatting sqref="D41:J158">
    <cfRule type="colorScale" priority="12">
      <colorScale>
        <cfvo type="min"/>
        <cfvo type="percentile" val="50"/>
        <cfvo type="max"/>
        <color rgb="FFF8696B"/>
        <color rgb="FFFFEB84"/>
        <color rgb="FF63BE7B"/>
      </colorScale>
    </cfRule>
  </conditionalFormatting>
  <conditionalFormatting sqref="D164:J177">
    <cfRule type="colorScale" priority="101">
      <colorScale>
        <cfvo type="min"/>
        <cfvo type="percentile" val="50"/>
        <cfvo type="max"/>
        <color rgb="FF63BE7B"/>
        <color rgb="FFFFEB84"/>
        <color rgb="FFF8696B"/>
      </colorScale>
    </cfRule>
  </conditionalFormatting>
  <conditionalFormatting sqref="E40:J42 D8:J40 D42:J158">
    <cfRule type="colorScale" priority="53">
      <colorScale>
        <cfvo type="min"/>
        <cfvo type="percentile" val="50"/>
        <cfvo type="max"/>
        <color rgb="FFF8696B"/>
        <color rgb="FFFFEB84"/>
        <color rgb="FF63BE7B"/>
      </colorScale>
    </cfRule>
  </conditionalFormatting>
  <conditionalFormatting sqref="K8:K158">
    <cfRule type="colorScale" priority="10">
      <colorScale>
        <cfvo type="min"/>
        <cfvo type="max"/>
        <color rgb="FFFCFCFF"/>
        <color rgb="FF63BE7B"/>
      </colorScale>
    </cfRule>
  </conditionalFormatting>
  <conditionalFormatting sqref="L8:L28 L30:L158">
    <cfRule type="colorScale" priority="8">
      <colorScale>
        <cfvo type="min"/>
        <cfvo type="max"/>
        <color rgb="FFFCFCFF"/>
        <color rgb="FF63BE7B"/>
      </colorScale>
    </cfRule>
  </conditionalFormatting>
  <conditionalFormatting sqref="L29">
    <cfRule type="colorScale" priority="4">
      <colorScale>
        <cfvo type="min"/>
        <cfvo type="max"/>
        <color rgb="FFFCFCFF"/>
        <color rgb="FF63BE7B"/>
      </colorScale>
    </cfRule>
    <cfRule type="containsText" dxfId="14" priority="5" operator="containsText" text="PD KAIN">
      <formula>NOT(ISERROR(SEARCH("PD KAIN",L29)))</formula>
    </cfRule>
  </conditionalFormatting>
  <conditionalFormatting sqref="M163:N169 M171">
    <cfRule type="colorScale" priority="87">
      <colorScale>
        <cfvo type="min"/>
        <cfvo type="percentile" val="50"/>
        <cfvo type="max"/>
        <color rgb="FF63BE7B"/>
        <color rgb="FFFFEB84"/>
        <color rgb="FFF8696B"/>
      </colorScale>
    </cfRule>
  </conditionalFormatting>
  <conditionalFormatting sqref="N8:N158 B8:B49 B76:B160 B163:B199">
    <cfRule type="containsText" dxfId="13" priority="79" operator="containsText" text="Dec">
      <formula>NOT(ISERROR(SEARCH("Dec",B8)))</formula>
    </cfRule>
  </conditionalFormatting>
  <conditionalFormatting sqref="O8:O158">
    <cfRule type="containsText" dxfId="12" priority="75" operator="containsText" text="Ghost D">
      <formula>NOT(ISERROR(SEARCH("Ghost D",O8)))</formula>
    </cfRule>
    <cfRule type="containsText" dxfId="11" priority="76" operator="containsText" text="Ghost C">
      <formula>NOT(ISERROR(SEARCH("Ghost C",O8)))</formula>
    </cfRule>
    <cfRule type="containsText" dxfId="10" priority="78" operator="containsText" text="Ghost A">
      <formula>NOT(ISERROR(SEARCH("Ghost A",O8)))</formula>
    </cfRule>
    <cfRule type="containsText" dxfId="9" priority="72" operator="containsText" text="Ghost G">
      <formula>NOT(ISERROR(SEARCH("Ghost G",O8)))</formula>
    </cfRule>
    <cfRule type="containsText" dxfId="8" priority="73" operator="containsText" text="Ghost F">
      <formula>NOT(ISERROR(SEARCH("Ghost F",O8)))</formula>
    </cfRule>
    <cfRule type="containsText" dxfId="7" priority="74" operator="containsText" text="Ghost E">
      <formula>NOT(ISERROR(SEARCH("Ghost E",O8)))</formula>
    </cfRule>
    <cfRule type="containsText" dxfId="6" priority="77" operator="containsText" text="Ghost B">
      <formula>NOT(ISERROR(SEARCH("Ghost B",O8)))</formula>
    </cfRule>
  </conditionalFormatting>
  <conditionalFormatting sqref="P8:V49 P53:V158 P51:U52 V50:V52">
    <cfRule type="colorScale" priority="54">
      <colorScale>
        <cfvo type="min"/>
        <cfvo type="percentile" val="50"/>
        <cfvo type="max"/>
        <color rgb="FFF8696B"/>
        <color rgb="FFFFEB84"/>
        <color rgb="FF63BE7B"/>
      </colorScale>
    </cfRule>
    <cfRule type="colorScale" priority="55">
      <colorScale>
        <cfvo type="min"/>
        <cfvo type="max"/>
        <color rgb="FFF8696B"/>
        <color rgb="FFFCFCFF"/>
      </colorScale>
    </cfRule>
  </conditionalFormatting>
  <conditionalFormatting sqref="P8:V158">
    <cfRule type="colorScale" priority="2">
      <colorScale>
        <cfvo type="min"/>
        <cfvo type="percentile" val="50"/>
        <cfvo type="max"/>
        <color rgb="FFF8696B"/>
        <color rgb="FFFFEB84"/>
        <color rgb="FF63BE7B"/>
      </colorScale>
    </cfRule>
  </conditionalFormatting>
  <conditionalFormatting sqref="W8:W158">
    <cfRule type="colorScale" priority="7">
      <colorScale>
        <cfvo type="min"/>
        <cfvo type="max"/>
        <color rgb="FFFCFCFF"/>
        <color rgb="FF63BE7B"/>
      </colorScale>
    </cfRule>
  </conditionalFormatting>
  <conditionalFormatting sqref="W36:W56">
    <cfRule type="containsText" dxfId="5" priority="15" operator="containsText" text="PD KAIN">
      <formula>NOT(ISERROR(SEARCH("PD KAIN",W36)))</formula>
    </cfRule>
  </conditionalFormatting>
  <conditionalFormatting sqref="W8:X35">
    <cfRule type="containsText" dxfId="4" priority="16" operator="containsText" text="PD KAIN">
      <formula>NOT(ISERROR(SEARCH("PD KAIN",W8)))</formula>
    </cfRule>
  </conditionalFormatting>
  <conditionalFormatting sqref="X8:X158">
    <cfRule type="colorScale" priority="6">
      <colorScale>
        <cfvo type="min"/>
        <cfvo type="max"/>
        <color rgb="FFFCFCFF"/>
        <color rgb="FF63BE7B"/>
      </colorScale>
    </cfRule>
  </conditionalFormatting>
  <conditionalFormatting sqref="X36:X56">
    <cfRule type="containsText" dxfId="3" priority="14" operator="containsText" text="PD KAIN">
      <formula>NOT(ISERROR(SEARCH("PD KAIN",X36)))</formula>
    </cfRule>
  </conditionalFormatting>
  <conditionalFormatting sqref="AH94">
    <cfRule type="containsText" dxfId="2" priority="13" operator="containsText" text="AHSAN">
      <formula>NOT(ISERROR(SEARCH("AHSAN",AH94)))</formula>
    </cfRule>
  </conditionalFormatting>
  <conditionalFormatting sqref="AH115">
    <cfRule type="containsText" dxfId="1" priority="3" operator="containsText" text="AHSAN">
      <formula>NOT(ISERROR(SEARCH("AHSAN",AH115)))</formula>
    </cfRule>
  </conditionalFormatting>
  <conditionalFormatting sqref="AH136">
    <cfRule type="containsText" dxfId="0" priority="1" operator="containsText" text="AHSAN">
      <formula>NOT(ISERROR(SEARCH("AHSAN",AH136)))</formula>
    </cfRule>
  </conditionalFormatting>
  <dataValidations count="3">
    <dataValidation allowBlank="1" showInputMessage="1" showErrorMessage="1" promptTitle="Harga Rata-Rata" prompt="Jumlah Harga/Jumlah Barang --&gt; (Rp 2.476.500/595)" sqref="W8:W56" xr:uid="{1009A969-E713-4E12-8397-895BB66D48C3}"/>
    <dataValidation allowBlank="1" showInputMessage="1" showErrorMessage="1" promptTitle="Ganti Harga" prompt="Ada Pergantian Harga _x000a_Katun @5.000_x000a_Linen @7.000_x000a_Rayon @6.000_x000a_Polyster @6.000_x000a_Denim @7000_x000a_Mori @2.000_x000a_Sutra @10.000" sqref="L21" xr:uid="{E8BE83E4-64BF-406B-BAE3-920643A571D7}"/>
    <dataValidation allowBlank="1" showInputMessage="1" showErrorMessage="1" promptTitle="Bukti Allert ⚠" prompt="Bukti Transaksi Belum Ada, Tolong di Follow Up Lagi." sqref="C48:C49" xr:uid="{84DF6F43-1566-4B9E-8BC3-7D124860BC8C}"/>
  </dataValidations>
  <pageMargins left="0.7" right="0.7" top="0.75" bottom="0.75" header="0.3" footer="0.3"/>
  <pageSetup paperSize="9" scale="55" orientation="portrait" r:id="rId1"/>
  <colBreaks count="3" manualBreakCount="3">
    <brk id="12" max="60" man="1"/>
    <brk id="24" max="1048575" man="1"/>
    <brk id="33" max="60" man="1"/>
  </colBreaks>
  <ignoredErrors>
    <ignoredError sqref="AB16:AB22 AF16" calculatedColumn="1"/>
    <ignoredError sqref="L11 L45" formula="1"/>
  </ignoredErrors>
  <drawing r:id="rId2"/>
  <tableParts count="4">
    <tablePart r:id="rId3"/>
    <tablePart r:id="rId4"/>
    <tablePart r:id="rId5"/>
    <tablePart r:id="rId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4E5A4-A22A-4B71-BEF5-B7EF64CFFD67}">
  <sheetPr codeName="Sheet7">
    <tabColor theme="9"/>
  </sheetPr>
  <dimension ref="A1:P185"/>
  <sheetViews>
    <sheetView showGridLines="0" showRowColHeaders="0" zoomScaleNormal="100" workbookViewId="0">
      <pane ySplit="7" topLeftCell="A8" activePane="bottomLeft" state="frozen"/>
      <selection pane="bottomLeft"/>
    </sheetView>
  </sheetViews>
  <sheetFormatPr defaultRowHeight="15"/>
  <cols>
    <col min="1" max="1" width="9.140625" style="10"/>
    <col min="2" max="2" width="21" style="10" bestFit="1" customWidth="1"/>
    <col min="3" max="3" width="34.28515625" style="10" bestFit="1" customWidth="1"/>
    <col min="4" max="4" width="11.5703125" style="10" bestFit="1" customWidth="1"/>
    <col min="5" max="7" width="17" style="10" bestFit="1" customWidth="1"/>
    <col min="8" max="8" width="17.42578125" style="10" bestFit="1" customWidth="1"/>
    <col min="9" max="9" width="19.5703125" style="10" bestFit="1" customWidth="1"/>
    <col min="10" max="10" width="11.5703125" style="10" bestFit="1" customWidth="1"/>
    <col min="11" max="11" width="10.85546875" style="10" bestFit="1" customWidth="1"/>
    <col min="12" max="12" width="11.5703125" style="10" bestFit="1" customWidth="1"/>
    <col min="13" max="13" width="10.5703125" style="10" bestFit="1" customWidth="1"/>
    <col min="14" max="14" width="9.5703125" style="10" bestFit="1" customWidth="1"/>
    <col min="15" max="15" width="10.5703125" style="10" bestFit="1" customWidth="1"/>
    <col min="16" max="16" width="9.140625" style="10"/>
    <col min="17" max="17" width="10.5703125" style="10" bestFit="1" customWidth="1"/>
    <col min="18" max="16384" width="9.140625" style="10"/>
  </cols>
  <sheetData>
    <row r="1" spans="2:6" s="6" customFormat="1"/>
    <row r="2" spans="2:6" s="6" customFormat="1"/>
    <row r="3" spans="2:6" s="6" customFormat="1"/>
    <row r="4" spans="2:6" s="6" customFormat="1">
      <c r="B4" s="7"/>
      <c r="C4" s="7"/>
      <c r="D4" s="7"/>
      <c r="E4" s="7"/>
      <c r="F4" s="7"/>
    </row>
    <row r="5" spans="2:6" s="6" customFormat="1"/>
    <row r="6" spans="2:6" s="6" customFormat="1"/>
    <row r="7" spans="2:6" s="6" customFormat="1" ht="30" customHeight="1">
      <c r="B7" s="8" t="s">
        <v>63</v>
      </c>
      <c r="C7" s="8" t="s">
        <v>0</v>
      </c>
      <c r="D7" s="8" t="s">
        <v>311</v>
      </c>
      <c r="E7" s="8" t="s">
        <v>49</v>
      </c>
      <c r="F7" s="8" t="s">
        <v>61</v>
      </c>
    </row>
    <row r="8" spans="2:6">
      <c r="B8" s="53">
        <v>45659</v>
      </c>
      <c r="C8" s="39" t="s">
        <v>187</v>
      </c>
      <c r="D8" s="232">
        <f>IFERROR(_xlfn.XLOOKUP(Transaksi[[#This Row],[Keterangan]],COA[Nama Akun],COA[COA]),"")</f>
        <v>1101</v>
      </c>
      <c r="E8" s="9">
        <v>18000000</v>
      </c>
      <c r="F8" s="9"/>
    </row>
    <row r="9" spans="2:6">
      <c r="B9" s="53">
        <v>45659</v>
      </c>
      <c r="C9" s="39" t="s">
        <v>516</v>
      </c>
      <c r="D9" s="232">
        <f>IFERROR(_xlfn.XLOOKUP(Transaksi[[#This Row],[Keterangan]],COA[Nama Akun],COA[COA]),"")</f>
        <v>3102</v>
      </c>
      <c r="E9" s="9"/>
      <c r="F9" s="9">
        <v>18000000</v>
      </c>
    </row>
    <row r="10" spans="2:6">
      <c r="B10" s="53">
        <v>45667</v>
      </c>
      <c r="C10" s="39" t="s">
        <v>69</v>
      </c>
      <c r="D10" s="232">
        <f>IFERROR(_xlfn.XLOOKUP(Transaksi[[#This Row],[Keterangan]],COA[Nama Akun],COA[COA]),"")</f>
        <v>1109</v>
      </c>
      <c r="E10" s="9">
        <v>1500000</v>
      </c>
      <c r="F10" s="9"/>
    </row>
    <row r="11" spans="2:6">
      <c r="B11" s="53">
        <v>45667</v>
      </c>
      <c r="C11" s="39" t="s">
        <v>398</v>
      </c>
      <c r="D11" s="232">
        <f>IFERROR(_xlfn.XLOOKUP(Transaksi[[#This Row],[Keterangan]],COA[Nama Akun],COA[COA]),"")</f>
        <v>1101</v>
      </c>
      <c r="E11" s="9"/>
      <c r="F11" s="9">
        <v>1500000</v>
      </c>
    </row>
    <row r="12" spans="2:6">
      <c r="B12" s="53">
        <v>45668</v>
      </c>
      <c r="C12" s="39" t="s">
        <v>413</v>
      </c>
      <c r="D12" s="232">
        <f>IFERROR(_xlfn.XLOOKUP(Transaksi[[#This Row],[Keterangan]],COA[Nama Akun],COA[COA]),"")</f>
        <v>1107</v>
      </c>
      <c r="E12" s="9">
        <v>1000000</v>
      </c>
      <c r="F12" s="9"/>
    </row>
    <row r="13" spans="2:6">
      <c r="B13" s="53">
        <v>45668</v>
      </c>
      <c r="C13" s="39" t="s">
        <v>398</v>
      </c>
      <c r="D13" s="232">
        <f>IFERROR(_xlfn.XLOOKUP(Transaksi[[#This Row],[Keterangan]],COA[Nama Akun],COA[COA]),"")</f>
        <v>1101</v>
      </c>
      <c r="E13" s="9"/>
      <c r="F13" s="9">
        <v>1000000</v>
      </c>
    </row>
    <row r="14" spans="2:6">
      <c r="B14" s="53">
        <v>45668</v>
      </c>
      <c r="C14" s="39" t="s">
        <v>417</v>
      </c>
      <c r="D14" s="232">
        <f>IFERROR(_xlfn.XLOOKUP(Transaksi[[#This Row],[Keterangan]],COA[Nama Akun],COA[COA]),"")</f>
        <v>5104</v>
      </c>
      <c r="E14" s="9">
        <v>110000</v>
      </c>
      <c r="F14" s="9"/>
    </row>
    <row r="15" spans="2:6">
      <c r="B15" s="53">
        <v>45668</v>
      </c>
      <c r="C15" s="39" t="s">
        <v>398</v>
      </c>
      <c r="D15" s="232">
        <f>IFERROR(_xlfn.XLOOKUP(Transaksi[[#This Row],[Keterangan]],COA[Nama Akun],COA[COA]),"")</f>
        <v>1101</v>
      </c>
      <c r="E15" s="9"/>
      <c r="F15" s="9">
        <v>110000</v>
      </c>
    </row>
    <row r="16" spans="2:6">
      <c r="B16" s="53">
        <v>45676</v>
      </c>
      <c r="C16" s="39" t="s">
        <v>415</v>
      </c>
      <c r="D16" s="232">
        <f>IFERROR(_xlfn.XLOOKUP(Transaksi[[#This Row],[Keterangan]],COA[Nama Akun],COA[COA]),"")</f>
        <v>5102</v>
      </c>
      <c r="E16" s="9">
        <v>600000</v>
      </c>
      <c r="F16" s="9"/>
    </row>
    <row r="17" spans="2:12">
      <c r="B17" s="53">
        <v>45676</v>
      </c>
      <c r="C17" s="39" t="s">
        <v>428</v>
      </c>
      <c r="D17" s="232">
        <f>IFERROR(_xlfn.XLOOKUP(Transaksi[[#This Row],[Keterangan]],COA[Nama Akun],COA[COA]),"")</f>
        <v>2102</v>
      </c>
      <c r="E17" s="9"/>
      <c r="F17" s="9">
        <v>60000</v>
      </c>
    </row>
    <row r="18" spans="2:12">
      <c r="B18" s="53">
        <v>45676</v>
      </c>
      <c r="C18" s="39" t="s">
        <v>429</v>
      </c>
      <c r="D18" s="232">
        <f>IFERROR(_xlfn.XLOOKUP(Transaksi[[#This Row],[Keterangan]],COA[Nama Akun],COA[COA]),"")</f>
        <v>2103</v>
      </c>
      <c r="E18" s="9"/>
      <c r="F18" s="9">
        <v>540000</v>
      </c>
    </row>
    <row r="19" spans="2:12">
      <c r="B19" s="53">
        <v>45677</v>
      </c>
      <c r="C19" s="39" t="s">
        <v>184</v>
      </c>
      <c r="D19" s="232">
        <f>IFERROR(_xlfn.XLOOKUP(Transaksi[[#This Row],[Keterangan]],COA[Nama Akun],COA[COA]),"")</f>
        <v>1104</v>
      </c>
      <c r="E19" s="9">
        <f>Measurements!L8</f>
        <v>1360000</v>
      </c>
      <c r="F19" s="9"/>
      <c r="I19" s="47"/>
    </row>
    <row r="20" spans="2:12">
      <c r="B20" s="53">
        <v>45677</v>
      </c>
      <c r="C20" s="39" t="s">
        <v>398</v>
      </c>
      <c r="D20" s="232">
        <f>IFERROR(_xlfn.XLOOKUP(Transaksi[[#This Row],[Keterangan]],COA[Nama Akun],COA[COA]),"")</f>
        <v>1101</v>
      </c>
      <c r="E20" s="9"/>
      <c r="F20" s="9">
        <f>E19</f>
        <v>1360000</v>
      </c>
      <c r="I20" s="47"/>
      <c r="J20" s="49"/>
    </row>
    <row r="21" spans="2:12">
      <c r="B21" s="53">
        <v>45680</v>
      </c>
      <c r="C21" s="39" t="s">
        <v>196</v>
      </c>
      <c r="D21" s="232">
        <f>IFERROR(_xlfn.XLOOKUP(Transaksi[[#This Row],[Keterangan]],COA[Nama Akun],COA[COA]),"")</f>
        <v>2103</v>
      </c>
      <c r="E21" s="9">
        <v>540000</v>
      </c>
      <c r="F21" s="9"/>
    </row>
    <row r="22" spans="2:12">
      <c r="B22" s="53">
        <v>45680</v>
      </c>
      <c r="C22" s="39" t="s">
        <v>398</v>
      </c>
      <c r="D22" s="232">
        <f>IFERROR(_xlfn.XLOOKUP(Transaksi[[#This Row],[Keterangan]],COA[Nama Akun],COA[COA]),"")</f>
        <v>1101</v>
      </c>
      <c r="E22" s="9"/>
      <c r="F22" s="9">
        <v>540000</v>
      </c>
    </row>
    <row r="23" spans="2:12">
      <c r="B23" s="53">
        <v>45682</v>
      </c>
      <c r="C23" s="39" t="s">
        <v>183</v>
      </c>
      <c r="D23" s="232">
        <f>IFERROR(_xlfn.XLOOKUP(Transaksi[[#This Row],[Keterangan]],COA[Nama Akun],COA[COA]),"")</f>
        <v>1103</v>
      </c>
      <c r="E23" s="9">
        <f>Measurements!AS12</f>
        <v>3771780</v>
      </c>
      <c r="F23" s="9"/>
      <c r="G23"/>
      <c r="H23" s="31"/>
      <c r="I23"/>
      <c r="J23"/>
      <c r="K23"/>
      <c r="L23"/>
    </row>
    <row r="24" spans="2:12">
      <c r="B24" s="53">
        <v>45682</v>
      </c>
      <c r="C24" s="39" t="s">
        <v>149</v>
      </c>
      <c r="D24" s="232">
        <f>IFERROR(_xlfn.XLOOKUP(Transaksi[[#This Row],[Keterangan]],COA[Nama Akun],COA[COA]),"")</f>
        <v>4101</v>
      </c>
      <c r="E24" s="9"/>
      <c r="F24" s="9">
        <f>Measurements!AQ12</f>
        <v>3398000</v>
      </c>
      <c r="G24"/>
      <c r="H24"/>
      <c r="I24"/>
      <c r="J24"/>
      <c r="K24"/>
      <c r="L24"/>
    </row>
    <row r="25" spans="2:12">
      <c r="B25" s="53">
        <v>45682</v>
      </c>
      <c r="C25" s="39" t="s">
        <v>151</v>
      </c>
      <c r="D25" s="232">
        <f>IFERROR(_xlfn.XLOOKUP(Transaksi[[#This Row],[Keterangan]],COA[Nama Akun],COA[COA]),"")</f>
        <v>2106</v>
      </c>
      <c r="E25" s="9"/>
      <c r="F25" s="9">
        <f>Measurements!AR12</f>
        <v>373780</v>
      </c>
      <c r="G25"/>
      <c r="H25"/>
      <c r="I25"/>
      <c r="J25"/>
      <c r="K25"/>
      <c r="L25"/>
    </row>
    <row r="26" spans="2:12">
      <c r="B26" s="53">
        <v>45682</v>
      </c>
      <c r="C26" s="39" t="s">
        <v>146</v>
      </c>
      <c r="D26" s="232">
        <f>IFERROR(_xlfn.XLOOKUP(Transaksi[[#This Row],[Keterangan]],COA[Nama Akun],COA[COA]),"")</f>
        <v>4103</v>
      </c>
      <c r="E26" s="9">
        <f>Measurements!AT12</f>
        <v>21780</v>
      </c>
      <c r="F26" s="9"/>
      <c r="G26"/>
      <c r="H26"/>
      <c r="I26"/>
      <c r="J26"/>
      <c r="K26"/>
      <c r="L26"/>
    </row>
    <row r="27" spans="2:12">
      <c r="B27" s="53">
        <v>45682</v>
      </c>
      <c r="C27" s="39" t="s">
        <v>425</v>
      </c>
      <c r="D27" s="232">
        <f>IFERROR(_xlfn.XLOOKUP(Transaksi[[#This Row],[Keterangan]],COA[Nama Akun],COA[COA]),"")</f>
        <v>1103</v>
      </c>
      <c r="E27" s="9"/>
      <c r="F27" s="9">
        <f>E26</f>
        <v>21780</v>
      </c>
      <c r="G27"/>
      <c r="H27"/>
      <c r="I27"/>
      <c r="J27"/>
      <c r="K27"/>
      <c r="L27"/>
    </row>
    <row r="28" spans="2:12">
      <c r="B28" s="53">
        <v>45683</v>
      </c>
      <c r="C28" s="39" t="s">
        <v>125</v>
      </c>
      <c r="D28" s="232">
        <f>IFERROR(_xlfn.XLOOKUP(Transaksi[[#This Row],[Keterangan]],COA[Nama Akun],COA[COA]),"")</f>
        <v>5109</v>
      </c>
      <c r="E28" s="9">
        <f>F29</f>
        <v>1292000</v>
      </c>
      <c r="F28" s="9"/>
      <c r="G28"/>
      <c r="H28"/>
      <c r="I28"/>
      <c r="J28"/>
      <c r="K28"/>
      <c r="L28"/>
    </row>
    <row r="29" spans="2:12">
      <c r="B29" s="53">
        <v>45683</v>
      </c>
      <c r="C29" s="39" t="s">
        <v>424</v>
      </c>
      <c r="D29" s="232">
        <f>IFERROR(_xlfn.XLOOKUP(Transaksi[[#This Row],[Keterangan]],COA[Nama Akun],COA[COA]),"")</f>
        <v>1104</v>
      </c>
      <c r="E29" s="9"/>
      <c r="F29" s="9">
        <f>Measurements!X8</f>
        <v>1292000</v>
      </c>
      <c r="G29"/>
      <c r="H29"/>
      <c r="I29"/>
      <c r="J29"/>
      <c r="K29"/>
      <c r="L29"/>
    </row>
    <row r="30" spans="2:12">
      <c r="B30" s="53">
        <v>45700</v>
      </c>
      <c r="C30" s="39" t="s">
        <v>417</v>
      </c>
      <c r="D30" s="232">
        <f>IFERROR(_xlfn.XLOOKUP(Transaksi[[#This Row],[Keterangan]],COA[Nama Akun],COA[COA]),"")</f>
        <v>5104</v>
      </c>
      <c r="E30" s="9">
        <v>110000</v>
      </c>
      <c r="F30" s="9"/>
      <c r="G30"/>
      <c r="H30"/>
      <c r="I30"/>
      <c r="J30"/>
      <c r="K30"/>
      <c r="L30"/>
    </row>
    <row r="31" spans="2:12">
      <c r="B31" s="53">
        <v>45700</v>
      </c>
      <c r="C31" s="39" t="s">
        <v>398</v>
      </c>
      <c r="D31" s="232">
        <f>IFERROR(_xlfn.XLOOKUP(Transaksi[[#This Row],[Keterangan]],COA[Nama Akun],COA[COA]),"")</f>
        <v>1101</v>
      </c>
      <c r="E31" s="9"/>
      <c r="F31" s="9">
        <v>110000</v>
      </c>
      <c r="G31"/>
      <c r="H31"/>
      <c r="I31"/>
      <c r="J31"/>
      <c r="K31"/>
      <c r="L31"/>
    </row>
    <row r="32" spans="2:12">
      <c r="B32" s="53">
        <v>45700</v>
      </c>
      <c r="C32" s="39" t="s">
        <v>184</v>
      </c>
      <c r="D32" s="232">
        <f>IFERROR(_xlfn.XLOOKUP(Transaksi[[#This Row],[Keterangan]],COA[Nama Akun],COA[COA]),"")</f>
        <v>1104</v>
      </c>
      <c r="E32" s="9">
        <f>SUM(Measurements!L9:L11)</f>
        <v>2261500</v>
      </c>
      <c r="F32" s="9"/>
      <c r="G32"/>
      <c r="H32"/>
      <c r="I32"/>
      <c r="J32"/>
      <c r="K32"/>
      <c r="L32"/>
    </row>
    <row r="33" spans="2:12">
      <c r="B33" s="53">
        <v>45700</v>
      </c>
      <c r="C33" s="39" t="s">
        <v>150</v>
      </c>
      <c r="D33" s="232">
        <f>IFERROR(_xlfn.XLOOKUP(Transaksi[[#This Row],[Keterangan]],COA[Nama Akun],COA[COA]),"")</f>
        <v>1114</v>
      </c>
      <c r="E33" s="9">
        <v>163415</v>
      </c>
      <c r="F33" s="9"/>
      <c r="G33"/>
      <c r="H33"/>
      <c r="I33"/>
      <c r="J33"/>
      <c r="K33"/>
      <c r="L33"/>
    </row>
    <row r="34" spans="2:12">
      <c r="B34" s="53">
        <v>45700</v>
      </c>
      <c r="C34" s="39" t="s">
        <v>398</v>
      </c>
      <c r="D34" s="232">
        <f>IFERROR(_xlfn.XLOOKUP(Transaksi[[#This Row],[Keterangan]],COA[Nama Akun],COA[COA]),"")</f>
        <v>1101</v>
      </c>
      <c r="E34" s="9"/>
      <c r="F34" s="9">
        <f>SUM(E32:E33)</f>
        <v>2424915</v>
      </c>
      <c r="G34"/>
      <c r="H34"/>
      <c r="I34"/>
      <c r="J34"/>
      <c r="K34"/>
      <c r="L34"/>
    </row>
    <row r="35" spans="2:12">
      <c r="B35" s="53">
        <v>45700</v>
      </c>
      <c r="C35" s="39" t="s">
        <v>187</v>
      </c>
      <c r="D35" s="232">
        <f>IFERROR(_xlfn.XLOOKUP(Transaksi[[#This Row],[Keterangan]],COA[Nama Akun],COA[COA]),"")</f>
        <v>1101</v>
      </c>
      <c r="E35" s="9">
        <v>163415</v>
      </c>
      <c r="F35" s="9"/>
      <c r="G35"/>
      <c r="H35"/>
      <c r="I35"/>
      <c r="J35"/>
      <c r="K35"/>
      <c r="L35"/>
    </row>
    <row r="36" spans="2:12">
      <c r="B36" s="53">
        <v>45700</v>
      </c>
      <c r="C36" s="39" t="s">
        <v>123</v>
      </c>
      <c r="D36" s="232">
        <f>IFERROR(_xlfn.XLOOKUP(Transaksi[[#This Row],[Keterangan]],COA[Nama Akun],COA[COA]),"")</f>
        <v>1106</v>
      </c>
      <c r="E36" s="9"/>
      <c r="F36" s="9">
        <v>163415</v>
      </c>
      <c r="G36"/>
      <c r="H36"/>
      <c r="I36"/>
      <c r="J36"/>
      <c r="K36"/>
      <c r="L36"/>
    </row>
    <row r="37" spans="2:12">
      <c r="B37" s="53">
        <v>45707</v>
      </c>
      <c r="C37" s="39" t="s">
        <v>415</v>
      </c>
      <c r="D37" s="232">
        <f>IFERROR(_xlfn.XLOOKUP(Transaksi[[#This Row],[Keterangan]],COA[Nama Akun],COA[COA]),"")</f>
        <v>5102</v>
      </c>
      <c r="E37" s="9">
        <v>600000</v>
      </c>
      <c r="F37" s="9"/>
      <c r="G37"/>
      <c r="H37"/>
      <c r="I37"/>
      <c r="J37"/>
      <c r="K37"/>
      <c r="L37"/>
    </row>
    <row r="38" spans="2:12">
      <c r="B38" s="53">
        <v>45707</v>
      </c>
      <c r="C38" s="39" t="s">
        <v>428</v>
      </c>
      <c r="D38" s="232">
        <f>IFERROR(_xlfn.XLOOKUP(Transaksi[[#This Row],[Keterangan]],COA[Nama Akun],COA[COA]),"")</f>
        <v>2102</v>
      </c>
      <c r="E38" s="9"/>
      <c r="F38" s="9">
        <v>60000</v>
      </c>
      <c r="G38"/>
      <c r="H38"/>
      <c r="I38"/>
      <c r="J38"/>
      <c r="K38"/>
      <c r="L38"/>
    </row>
    <row r="39" spans="2:12">
      <c r="B39" s="53">
        <v>45707</v>
      </c>
      <c r="C39" s="39" t="s">
        <v>429</v>
      </c>
      <c r="D39" s="232">
        <f>IFERROR(_xlfn.XLOOKUP(Transaksi[[#This Row],[Keterangan]],COA[Nama Akun],COA[COA]),"")</f>
        <v>2103</v>
      </c>
      <c r="E39" s="9"/>
      <c r="F39" s="9">
        <v>540000</v>
      </c>
      <c r="G39"/>
      <c r="H39"/>
      <c r="I39"/>
      <c r="J39"/>
      <c r="K39"/>
      <c r="L39"/>
    </row>
    <row r="40" spans="2:12">
      <c r="B40" s="53">
        <v>45708</v>
      </c>
      <c r="C40" s="39" t="s">
        <v>196</v>
      </c>
      <c r="D40" s="232">
        <f>IFERROR(_xlfn.XLOOKUP(Transaksi[[#This Row],[Keterangan]],COA[Nama Akun],COA[COA]),"")</f>
        <v>2103</v>
      </c>
      <c r="E40" s="9">
        <v>540000</v>
      </c>
      <c r="F40" s="9"/>
      <c r="G40"/>
      <c r="H40"/>
      <c r="I40"/>
      <c r="J40"/>
      <c r="K40"/>
      <c r="L40"/>
    </row>
    <row r="41" spans="2:12">
      <c r="B41" s="53">
        <v>45708</v>
      </c>
      <c r="C41" s="39" t="s">
        <v>398</v>
      </c>
      <c r="D41" s="232">
        <f>IFERROR(_xlfn.XLOOKUP(Transaksi[[#This Row],[Keterangan]],COA[Nama Akun],COA[COA]),"")</f>
        <v>1101</v>
      </c>
      <c r="E41" s="9"/>
      <c r="F41" s="9">
        <v>540000</v>
      </c>
      <c r="G41"/>
      <c r="H41"/>
      <c r="I41"/>
      <c r="J41"/>
      <c r="K41"/>
      <c r="L41"/>
    </row>
    <row r="42" spans="2:12">
      <c r="B42" s="53">
        <v>45709</v>
      </c>
      <c r="C42" s="39" t="s">
        <v>183</v>
      </c>
      <c r="D42" s="232">
        <f>IFERROR(_xlfn.XLOOKUP(Transaksi[[#This Row],[Keterangan]],COA[Nama Akun],COA[COA]),"")</f>
        <v>1103</v>
      </c>
      <c r="E42" s="9">
        <v>4757460</v>
      </c>
      <c r="F42" s="9"/>
      <c r="G42"/>
      <c r="H42"/>
      <c r="I42"/>
      <c r="J42"/>
      <c r="K42"/>
      <c r="L42"/>
    </row>
    <row r="43" spans="2:12">
      <c r="B43" s="53">
        <v>45709</v>
      </c>
      <c r="C43" s="39" t="s">
        <v>149</v>
      </c>
      <c r="D43" s="232">
        <f>IFERROR(_xlfn.XLOOKUP(Transaksi[[#This Row],[Keterangan]],COA[Nama Akun],COA[COA]),"")</f>
        <v>4101</v>
      </c>
      <c r="E43" s="9"/>
      <c r="F43" s="9">
        <f>Measurements!AQ15+Measurements!AQ18</f>
        <v>4286000</v>
      </c>
      <c r="G43"/>
      <c r="H43"/>
      <c r="I43"/>
      <c r="J43"/>
      <c r="K43"/>
      <c r="L43"/>
    </row>
    <row r="44" spans="2:12">
      <c r="B44" s="53">
        <v>45709</v>
      </c>
      <c r="C44" s="39" t="s">
        <v>151</v>
      </c>
      <c r="D44" s="232">
        <f>IFERROR(_xlfn.XLOOKUP(Transaksi[[#This Row],[Keterangan]],COA[Nama Akun],COA[COA]),"")</f>
        <v>2106</v>
      </c>
      <c r="E44" s="9"/>
      <c r="F44" s="9">
        <f>Measurements!AR15+Measurements!AR18</f>
        <v>471460</v>
      </c>
      <c r="G44"/>
      <c r="H44"/>
      <c r="I44"/>
      <c r="J44"/>
      <c r="K44"/>
      <c r="L44"/>
    </row>
    <row r="45" spans="2:12">
      <c r="B45" s="53">
        <v>45710</v>
      </c>
      <c r="C45" s="39" t="s">
        <v>146</v>
      </c>
      <c r="D45" s="232">
        <f>IFERROR(_xlfn.XLOOKUP(Transaksi[[#This Row],[Keterangan]],COA[Nama Akun],COA[COA]),"")</f>
        <v>4103</v>
      </c>
      <c r="E45" s="9">
        <v>47460</v>
      </c>
      <c r="F45" s="9"/>
      <c r="G45"/>
      <c r="H45"/>
      <c r="I45"/>
      <c r="J45"/>
      <c r="K45"/>
      <c r="L45"/>
    </row>
    <row r="46" spans="2:12">
      <c r="B46" s="53">
        <v>45710</v>
      </c>
      <c r="C46" s="39" t="s">
        <v>425</v>
      </c>
      <c r="D46" s="232">
        <f>IFERROR(_xlfn.XLOOKUP(Transaksi[[#This Row],[Keterangan]],COA[Nama Akun],COA[COA]),"")</f>
        <v>1103</v>
      </c>
      <c r="E46" s="9"/>
      <c r="F46" s="9">
        <v>47460</v>
      </c>
      <c r="G46"/>
      <c r="H46"/>
      <c r="I46"/>
      <c r="J46"/>
      <c r="K46"/>
      <c r="L46"/>
    </row>
    <row r="47" spans="2:12">
      <c r="B47" s="53">
        <v>45710</v>
      </c>
      <c r="C47" s="39" t="s">
        <v>125</v>
      </c>
      <c r="D47" s="232">
        <f>IFERROR(_xlfn.XLOOKUP(Transaksi[[#This Row],[Keterangan]],COA[Nama Akun],COA[COA]),"")</f>
        <v>5109</v>
      </c>
      <c r="E47" s="9">
        <f>F48</f>
        <v>2081380.5309734512</v>
      </c>
      <c r="F47" s="9"/>
      <c r="G47"/>
      <c r="H47"/>
      <c r="I47"/>
      <c r="J47"/>
      <c r="K47"/>
      <c r="L47"/>
    </row>
    <row r="48" spans="2:12">
      <c r="B48" s="53">
        <v>45710</v>
      </c>
      <c r="C48" s="39" t="s">
        <v>424</v>
      </c>
      <c r="D48" s="232">
        <f>IFERROR(_xlfn.XLOOKUP(Transaksi[[#This Row],[Keterangan]],COA[Nama Akun],COA[COA]),"")</f>
        <v>1104</v>
      </c>
      <c r="E48" s="9"/>
      <c r="F48" s="9">
        <f>SUM(Measurements!X9:X10)</f>
        <v>2081380.5309734512</v>
      </c>
      <c r="G48"/>
      <c r="H48"/>
      <c r="I48"/>
      <c r="J48"/>
      <c r="K48"/>
      <c r="L48"/>
    </row>
    <row r="49" spans="2:12">
      <c r="B49" s="53">
        <v>45726</v>
      </c>
      <c r="C49" s="39" t="s">
        <v>184</v>
      </c>
      <c r="D49" s="232">
        <f>IFERROR(_xlfn.XLOOKUP(Transaksi[[#This Row],[Keterangan]],COA[Nama Akun],COA[COA]),"")</f>
        <v>1104</v>
      </c>
      <c r="E49" s="9">
        <f>SUM(Measurements!L12:L15)</f>
        <v>4290000</v>
      </c>
      <c r="F49" s="9"/>
      <c r="G49"/>
      <c r="H49"/>
      <c r="I49"/>
      <c r="J49"/>
      <c r="K49"/>
      <c r="L49"/>
    </row>
    <row r="50" spans="2:12">
      <c r="B50" s="53">
        <v>45726</v>
      </c>
      <c r="C50" s="39" t="s">
        <v>150</v>
      </c>
      <c r="D50" s="232">
        <f>IFERROR(_xlfn.XLOOKUP(Transaksi[[#This Row],[Keterangan]],COA[Nama Akun],COA[COA]),"")</f>
        <v>1114</v>
      </c>
      <c r="E50" s="9">
        <f>49500+130000</f>
        <v>179500</v>
      </c>
      <c r="F50" s="9"/>
      <c r="G50"/>
      <c r="H50"/>
      <c r="I50"/>
      <c r="J50"/>
      <c r="K50"/>
      <c r="L50"/>
    </row>
    <row r="51" spans="2:12">
      <c r="B51" s="53">
        <v>45726</v>
      </c>
      <c r="C51" s="39" t="s">
        <v>398</v>
      </c>
      <c r="D51" s="232">
        <f>IFERROR(_xlfn.XLOOKUP(Transaksi[[#This Row],[Keterangan]],COA[Nama Akun],COA[COA]),"")</f>
        <v>1101</v>
      </c>
      <c r="E51" s="9"/>
      <c r="F51" s="9">
        <f>SUM(E49:E50)</f>
        <v>4469500</v>
      </c>
      <c r="G51"/>
      <c r="H51"/>
      <c r="I51"/>
      <c r="J51"/>
      <c r="K51"/>
      <c r="L51"/>
    </row>
    <row r="52" spans="2:12">
      <c r="B52" s="53">
        <v>45726</v>
      </c>
      <c r="C52" s="39" t="s">
        <v>187</v>
      </c>
      <c r="D52" s="232">
        <f>IFERROR(_xlfn.XLOOKUP(Transaksi[[#This Row],[Keterangan]],COA[Nama Akun],COA[COA]),"")</f>
        <v>1101</v>
      </c>
      <c r="E52" s="9">
        <v>219500</v>
      </c>
      <c r="F52" s="9"/>
      <c r="G52"/>
      <c r="H52"/>
      <c r="I52"/>
      <c r="J52"/>
      <c r="K52"/>
      <c r="L52"/>
    </row>
    <row r="53" spans="2:12">
      <c r="B53" s="53">
        <v>45726</v>
      </c>
      <c r="C53" s="39" t="s">
        <v>123</v>
      </c>
      <c r="D53" s="232">
        <f>IFERROR(_xlfn.XLOOKUP(Transaksi[[#This Row],[Keterangan]],COA[Nama Akun],COA[COA]),"")</f>
        <v>1106</v>
      </c>
      <c r="E53" s="9"/>
      <c r="F53" s="9">
        <v>219500</v>
      </c>
      <c r="G53"/>
      <c r="H53"/>
      <c r="I53"/>
      <c r="J53"/>
      <c r="K53"/>
      <c r="L53"/>
    </row>
    <row r="54" spans="2:12">
      <c r="B54" s="53">
        <v>45726</v>
      </c>
      <c r="C54" s="39" t="s">
        <v>415</v>
      </c>
      <c r="D54" s="232">
        <f>IFERROR(_xlfn.XLOOKUP(Transaksi[[#This Row],[Keterangan]],COA[Nama Akun],COA[COA]),"")</f>
        <v>5102</v>
      </c>
      <c r="E54" s="9">
        <v>600000</v>
      </c>
      <c r="F54" s="9"/>
      <c r="G54"/>
      <c r="H54"/>
      <c r="I54"/>
      <c r="J54"/>
      <c r="K54"/>
      <c r="L54"/>
    </row>
    <row r="55" spans="2:12">
      <c r="B55" s="53">
        <v>45726</v>
      </c>
      <c r="C55" s="39" t="s">
        <v>428</v>
      </c>
      <c r="D55" s="232">
        <f>IFERROR(_xlfn.XLOOKUP(Transaksi[[#This Row],[Keterangan]],COA[Nama Akun],COA[COA]),"")</f>
        <v>2102</v>
      </c>
      <c r="E55" s="9"/>
      <c r="F55" s="9">
        <v>60000</v>
      </c>
      <c r="G55"/>
      <c r="H55"/>
      <c r="I55"/>
      <c r="J55"/>
      <c r="K55"/>
      <c r="L55"/>
    </row>
    <row r="56" spans="2:12">
      <c r="B56" s="53">
        <v>45726</v>
      </c>
      <c r="C56" s="39" t="s">
        <v>429</v>
      </c>
      <c r="D56" s="232">
        <f>IFERROR(_xlfn.XLOOKUP(Transaksi[[#This Row],[Keterangan]],COA[Nama Akun],COA[COA]),"")</f>
        <v>2103</v>
      </c>
      <c r="E56" s="9"/>
      <c r="F56" s="9">
        <v>540000</v>
      </c>
      <c r="G56"/>
      <c r="H56"/>
      <c r="I56"/>
      <c r="J56"/>
      <c r="K56"/>
      <c r="L56"/>
    </row>
    <row r="57" spans="2:12">
      <c r="B57" s="53">
        <v>45726</v>
      </c>
      <c r="C57" s="39" t="s">
        <v>196</v>
      </c>
      <c r="D57" s="232">
        <f>IFERROR(_xlfn.XLOOKUP(Transaksi[[#This Row],[Keterangan]],COA[Nama Akun],COA[COA]),"")</f>
        <v>2103</v>
      </c>
      <c r="E57" s="9">
        <v>540000</v>
      </c>
      <c r="F57" s="9"/>
      <c r="G57" s="68"/>
    </row>
    <row r="58" spans="2:12">
      <c r="B58" s="53">
        <v>45726</v>
      </c>
      <c r="C58" s="39" t="s">
        <v>398</v>
      </c>
      <c r="D58" s="232">
        <f>IFERROR(_xlfn.XLOOKUP(Transaksi[[#This Row],[Keterangan]],COA[Nama Akun],COA[COA]),"")</f>
        <v>1101</v>
      </c>
      <c r="E58" s="9"/>
      <c r="F58" s="9">
        <v>540000</v>
      </c>
    </row>
    <row r="59" spans="2:12">
      <c r="B59" s="53">
        <v>45726</v>
      </c>
      <c r="C59" s="39" t="s">
        <v>417</v>
      </c>
      <c r="D59" s="232">
        <f>IFERROR(_xlfn.XLOOKUP(Transaksi[[#This Row],[Keterangan]],COA[Nama Akun],COA[COA]),"")</f>
        <v>5104</v>
      </c>
      <c r="E59" s="9">
        <v>110000</v>
      </c>
      <c r="F59" s="9"/>
    </row>
    <row r="60" spans="2:12">
      <c r="B60" s="53">
        <v>45726</v>
      </c>
      <c r="C60" s="39" t="s">
        <v>398</v>
      </c>
      <c r="D60" s="232">
        <f>IFERROR(_xlfn.XLOOKUP(Transaksi[[#This Row],[Keterangan]],COA[Nama Akun],COA[COA]),"")</f>
        <v>1101</v>
      </c>
      <c r="E60" s="9"/>
      <c r="F60" s="9">
        <v>110000</v>
      </c>
    </row>
    <row r="61" spans="2:12">
      <c r="B61" s="53">
        <v>45726</v>
      </c>
      <c r="C61" s="39" t="s">
        <v>183</v>
      </c>
      <c r="D61" s="232">
        <f>IFERROR(_xlfn.XLOOKUP(Transaksi[[#This Row],[Keterangan]],COA[Nama Akun],COA[COA]),"")</f>
        <v>1103</v>
      </c>
      <c r="E61" s="9">
        <f>SUM(F62:F63)</f>
        <v>5256960</v>
      </c>
      <c r="F61" s="9"/>
    </row>
    <row r="62" spans="2:12">
      <c r="B62" s="53">
        <v>45726</v>
      </c>
      <c r="C62" s="39" t="s">
        <v>149</v>
      </c>
      <c r="D62" s="232">
        <f>IFERROR(_xlfn.XLOOKUP(Transaksi[[#This Row],[Keterangan]],COA[Nama Akun],COA[COA]),"")</f>
        <v>4101</v>
      </c>
      <c r="E62" s="9"/>
      <c r="F62" s="9">
        <f>Measurements!AQ21+Measurements!AQ24+Measurements!AQ27</f>
        <v>4736000</v>
      </c>
    </row>
    <row r="63" spans="2:12">
      <c r="B63" s="53">
        <v>45726</v>
      </c>
      <c r="C63" s="39" t="s">
        <v>151</v>
      </c>
      <c r="D63" s="232">
        <f>IFERROR(_xlfn.XLOOKUP(Transaksi[[#This Row],[Keterangan]],COA[Nama Akun],COA[COA]),"")</f>
        <v>2106</v>
      </c>
      <c r="E63" s="9"/>
      <c r="F63" s="9">
        <f>Measurements!AR21+Measurements!AR24+Measurements!AR27</f>
        <v>520960</v>
      </c>
    </row>
    <row r="64" spans="2:12">
      <c r="B64" s="53">
        <v>45726</v>
      </c>
      <c r="C64" s="39" t="s">
        <v>146</v>
      </c>
      <c r="D64" s="232">
        <f>IFERROR(_xlfn.XLOOKUP(Transaksi[[#This Row],[Keterangan]],COA[Nama Akun],COA[COA]),"")</f>
        <v>4103</v>
      </c>
      <c r="E64" s="9">
        <v>85635</v>
      </c>
      <c r="F64" s="9"/>
    </row>
    <row r="65" spans="2:16">
      <c r="B65" s="53">
        <v>45726</v>
      </c>
      <c r="C65" s="39" t="s">
        <v>425</v>
      </c>
      <c r="D65" s="232">
        <f>IFERROR(_xlfn.XLOOKUP(Transaksi[[#This Row],[Keterangan]],COA[Nama Akun],COA[COA]),"")</f>
        <v>1103</v>
      </c>
      <c r="E65" s="9"/>
      <c r="F65" s="9">
        <v>85635</v>
      </c>
    </row>
    <row r="66" spans="2:16">
      <c r="B66" s="53">
        <v>45726</v>
      </c>
      <c r="C66" s="39" t="s">
        <v>125</v>
      </c>
      <c r="D66" s="232">
        <f>IFERROR(_xlfn.XLOOKUP(Transaksi[[#This Row],[Keterangan]],COA[Nama Akun],COA[COA]),"")</f>
        <v>5109</v>
      </c>
      <c r="E66" s="9">
        <f>F67</f>
        <v>2333157.8947368423</v>
      </c>
      <c r="F66" s="9"/>
      <c r="M66" s="69"/>
    </row>
    <row r="67" spans="2:16">
      <c r="B67" s="53">
        <v>45726</v>
      </c>
      <c r="C67" s="39" t="s">
        <v>424</v>
      </c>
      <c r="D67" s="232">
        <f>IFERROR(_xlfn.XLOOKUP(Transaksi[[#This Row],[Keterangan]],COA[Nama Akun],COA[COA]),"")</f>
        <v>1104</v>
      </c>
      <c r="E67" s="9"/>
      <c r="F67" s="9">
        <f>SUM(Measurements!X11:X14)</f>
        <v>2333157.8947368423</v>
      </c>
      <c r="M67" s="47"/>
      <c r="N67" s="49"/>
      <c r="P67" s="49"/>
    </row>
    <row r="68" spans="2:16">
      <c r="B68" s="53">
        <v>45754</v>
      </c>
      <c r="C68" s="39" t="s">
        <v>184</v>
      </c>
      <c r="D68" s="232">
        <f>IFERROR(_xlfn.XLOOKUP(Transaksi[[#This Row],[Keterangan]],COA[Nama Akun],COA[COA]),"")</f>
        <v>1104</v>
      </c>
      <c r="E68" s="9">
        <f>SUM(Measurements!L16:L17)</f>
        <v>1410000</v>
      </c>
      <c r="F68" s="9"/>
      <c r="G68" s="47"/>
      <c r="H68" s="47"/>
      <c r="I68" s="47"/>
      <c r="J68" s="47"/>
      <c r="K68" s="47"/>
      <c r="L68" s="47"/>
      <c r="M68" s="47"/>
      <c r="N68" s="49"/>
      <c r="P68" s="49"/>
    </row>
    <row r="69" spans="2:16">
      <c r="B69" s="53">
        <v>45754</v>
      </c>
      <c r="C69" s="39" t="s">
        <v>398</v>
      </c>
      <c r="D69" s="232">
        <f>IFERROR(_xlfn.XLOOKUP(Transaksi[[#This Row],[Keterangan]],COA[Nama Akun],COA[COA]),"")</f>
        <v>1101</v>
      </c>
      <c r="E69" s="9"/>
      <c r="F69" s="9">
        <f>E68</f>
        <v>1410000</v>
      </c>
      <c r="G69" s="47"/>
      <c r="H69" s="47"/>
      <c r="I69" s="47"/>
      <c r="J69" s="47"/>
      <c r="K69" s="47"/>
      <c r="L69" s="47"/>
      <c r="M69" s="47"/>
      <c r="N69" s="49"/>
      <c r="P69" s="49"/>
    </row>
    <row r="70" spans="2:16">
      <c r="B70" s="53">
        <v>45758</v>
      </c>
      <c r="C70" s="39" t="s">
        <v>415</v>
      </c>
      <c r="D70" s="232">
        <f>IFERROR(_xlfn.XLOOKUP(Transaksi[[#This Row],[Keterangan]],COA[Nama Akun],COA[COA]),"")</f>
        <v>5102</v>
      </c>
      <c r="E70" s="9">
        <v>600000</v>
      </c>
      <c r="F70" s="9"/>
      <c r="G70" s="47"/>
      <c r="H70" s="47"/>
      <c r="I70" s="47"/>
      <c r="J70" s="47"/>
      <c r="K70" s="47"/>
      <c r="L70" s="47"/>
      <c r="M70" s="47"/>
      <c r="N70" s="49"/>
      <c r="P70" s="49"/>
    </row>
    <row r="71" spans="2:16">
      <c r="B71" s="53">
        <v>45758</v>
      </c>
      <c r="C71" s="39" t="s">
        <v>428</v>
      </c>
      <c r="D71" s="232">
        <f>IFERROR(_xlfn.XLOOKUP(Transaksi[[#This Row],[Keterangan]],COA[Nama Akun],COA[COA]),"")</f>
        <v>2102</v>
      </c>
      <c r="E71" s="9"/>
      <c r="F71" s="9">
        <v>60000</v>
      </c>
      <c r="G71" s="47"/>
      <c r="H71" s="47"/>
      <c r="I71" s="47"/>
      <c r="J71" s="47"/>
      <c r="K71" s="47"/>
      <c r="L71" s="47"/>
      <c r="M71" s="47"/>
      <c r="N71" s="49"/>
    </row>
    <row r="72" spans="2:16">
      <c r="B72" s="53">
        <v>45758</v>
      </c>
      <c r="C72" s="39" t="s">
        <v>429</v>
      </c>
      <c r="D72" s="232">
        <f>IFERROR(_xlfn.XLOOKUP(Transaksi[[#This Row],[Keterangan]],COA[Nama Akun],COA[COA]),"")</f>
        <v>2103</v>
      </c>
      <c r="E72" s="9"/>
      <c r="F72" s="9">
        <v>540000</v>
      </c>
      <c r="L72" s="49"/>
    </row>
    <row r="73" spans="2:16">
      <c r="B73" s="53">
        <v>45764</v>
      </c>
      <c r="C73" s="39" t="s">
        <v>196</v>
      </c>
      <c r="D73" s="232">
        <f>IFERROR(_xlfn.XLOOKUP(Transaksi[[#This Row],[Keterangan]],COA[Nama Akun],COA[COA]),"")</f>
        <v>2103</v>
      </c>
      <c r="E73" s="9">
        <v>540000</v>
      </c>
      <c r="F73" s="9"/>
    </row>
    <row r="74" spans="2:16">
      <c r="B74" s="53">
        <v>45764</v>
      </c>
      <c r="C74" s="39" t="s">
        <v>398</v>
      </c>
      <c r="D74" s="232">
        <f>IFERROR(_xlfn.XLOOKUP(Transaksi[[#This Row],[Keterangan]],COA[Nama Akun],COA[COA]),"")</f>
        <v>1101</v>
      </c>
      <c r="E74" s="9"/>
      <c r="F74" s="9">
        <v>540000</v>
      </c>
    </row>
    <row r="75" spans="2:16">
      <c r="B75" s="53">
        <v>45765</v>
      </c>
      <c r="C75" s="39" t="s">
        <v>417</v>
      </c>
      <c r="D75" s="232">
        <f>IFERROR(_xlfn.XLOOKUP(Transaksi[[#This Row],[Keterangan]],COA[Nama Akun],COA[COA]),"")</f>
        <v>5104</v>
      </c>
      <c r="E75" s="9">
        <v>110000</v>
      </c>
      <c r="F75" s="9"/>
    </row>
    <row r="76" spans="2:16">
      <c r="B76" s="53">
        <v>45765</v>
      </c>
      <c r="C76" s="39" t="s">
        <v>398</v>
      </c>
      <c r="D76" s="232">
        <f>IFERROR(_xlfn.XLOOKUP(Transaksi[[#This Row],[Keterangan]],COA[Nama Akun],COA[COA]),"")</f>
        <v>1101</v>
      </c>
      <c r="E76" s="9"/>
      <c r="F76" s="9">
        <v>110000</v>
      </c>
    </row>
    <row r="77" spans="2:16">
      <c r="B77" s="53">
        <v>45765</v>
      </c>
      <c r="C77" s="39" t="s">
        <v>183</v>
      </c>
      <c r="D77" s="232">
        <f>IFERROR(_xlfn.XLOOKUP(Transaksi[[#This Row],[Keterangan]],COA[Nama Akun],COA[COA]),"")</f>
        <v>1103</v>
      </c>
      <c r="E77" s="9">
        <f>SUM(F78:F79)</f>
        <v>2192250</v>
      </c>
      <c r="F77" s="9"/>
    </row>
    <row r="78" spans="2:16">
      <c r="B78" s="53">
        <v>45765</v>
      </c>
      <c r="C78" s="39" t="s">
        <v>149</v>
      </c>
      <c r="D78" s="232">
        <f>IFERROR(_xlfn.XLOOKUP(Transaksi[[#This Row],[Keterangan]],COA[Nama Akun],COA[COA]),"")</f>
        <v>4101</v>
      </c>
      <c r="E78" s="9"/>
      <c r="F78" s="9">
        <f>Measurements!AQ33+Measurements!AQ36</f>
        <v>1975000</v>
      </c>
    </row>
    <row r="79" spans="2:16">
      <c r="B79" s="53">
        <v>45765</v>
      </c>
      <c r="C79" s="39" t="s">
        <v>151</v>
      </c>
      <c r="D79" s="232">
        <f>IFERROR(_xlfn.XLOOKUP(Transaksi[[#This Row],[Keterangan]],COA[Nama Akun],COA[COA]),"")</f>
        <v>2106</v>
      </c>
      <c r="E79" s="9"/>
      <c r="F79" s="9">
        <f>Measurements!AR33+Measurements!AR36</f>
        <v>217250</v>
      </c>
    </row>
    <row r="80" spans="2:16">
      <c r="B80" s="53">
        <v>45765</v>
      </c>
      <c r="C80" s="39" t="s">
        <v>146</v>
      </c>
      <c r="D80" s="232">
        <f>IFERROR(_xlfn.XLOOKUP(Transaksi[[#This Row],[Keterangan]],COA[Nama Akun],COA[COA]),"")</f>
        <v>4103</v>
      </c>
      <c r="E80" s="9">
        <v>22250</v>
      </c>
      <c r="F80" s="9"/>
    </row>
    <row r="81" spans="2:7">
      <c r="B81" s="53">
        <v>45765</v>
      </c>
      <c r="C81" s="39" t="s">
        <v>425</v>
      </c>
      <c r="D81" s="232">
        <f>IFERROR(_xlfn.XLOOKUP(Transaksi[[#This Row],[Keterangan]],COA[Nama Akun],COA[COA]),"")</f>
        <v>1103</v>
      </c>
      <c r="E81" s="9"/>
      <c r="F81" s="9">
        <v>22250</v>
      </c>
    </row>
    <row r="82" spans="2:7">
      <c r="B82" s="53">
        <v>45772</v>
      </c>
      <c r="C82" s="39" t="s">
        <v>125</v>
      </c>
      <c r="D82" s="232">
        <f>IFERROR(_xlfn.XLOOKUP(Transaksi[[#This Row],[Keterangan]],COA[Nama Akun],COA[COA]),"")</f>
        <v>5109</v>
      </c>
      <c r="E82" s="9">
        <f>F83</f>
        <v>600000</v>
      </c>
      <c r="F82" s="9"/>
    </row>
    <row r="83" spans="2:7">
      <c r="B83" s="53">
        <v>45772</v>
      </c>
      <c r="C83" s="39" t="s">
        <v>424</v>
      </c>
      <c r="D83" s="232">
        <f>IFERROR(_xlfn.XLOOKUP(Transaksi[[#This Row],[Keterangan]],COA[Nama Akun],COA[COA]),"")</f>
        <v>1104</v>
      </c>
      <c r="E83" s="9"/>
      <c r="F83" s="9">
        <f>SUM(Measurements!X15:X16)</f>
        <v>600000</v>
      </c>
    </row>
    <row r="84" spans="2:7">
      <c r="B84" s="53">
        <v>45786</v>
      </c>
      <c r="C84" s="39" t="s">
        <v>184</v>
      </c>
      <c r="D84" s="232">
        <f>IFERROR(_xlfn.XLOOKUP(Transaksi[[#This Row],[Keterangan]],COA[Nama Akun],COA[COA]),"")</f>
        <v>1104</v>
      </c>
      <c r="E84" s="9">
        <f>SUM(Measurements!L18:L20)</f>
        <v>1550000</v>
      </c>
      <c r="F84" s="9"/>
      <c r="G84" s="47"/>
    </row>
    <row r="85" spans="2:7">
      <c r="B85" s="53">
        <v>45786</v>
      </c>
      <c r="C85" s="39" t="s">
        <v>150</v>
      </c>
      <c r="D85" s="232">
        <f>IFERROR(_xlfn.XLOOKUP(Transaksi[[#This Row],[Keterangan]],COA[Nama Akun],COA[COA]),"")</f>
        <v>1114</v>
      </c>
      <c r="E85" s="9">
        <f>56100+24000</f>
        <v>80100</v>
      </c>
      <c r="F85" s="9"/>
      <c r="G85" s="47"/>
    </row>
    <row r="86" spans="2:7">
      <c r="B86" s="53">
        <v>45786</v>
      </c>
      <c r="C86" s="39" t="s">
        <v>427</v>
      </c>
      <c r="D86" s="232">
        <f>IFERROR(_xlfn.XLOOKUP(Transaksi[[#This Row],[Keterangan]],COA[Nama Akun],COA[COA]),"")</f>
        <v>2101</v>
      </c>
      <c r="E86" s="9"/>
      <c r="F86" s="9">
        <f>SUM(E84:E85)</f>
        <v>1630100</v>
      </c>
    </row>
    <row r="87" spans="2:7">
      <c r="B87" s="53">
        <v>45789</v>
      </c>
      <c r="C87" s="39" t="s">
        <v>195</v>
      </c>
      <c r="D87" s="232">
        <f>IFERROR(_xlfn.XLOOKUP(Transaksi[[#This Row],[Keterangan]],COA[Nama Akun],COA[COA]),"")</f>
        <v>2101</v>
      </c>
      <c r="E87" s="9">
        <v>6100</v>
      </c>
      <c r="F87" s="9"/>
    </row>
    <row r="88" spans="2:7">
      <c r="B88" s="53">
        <v>45789</v>
      </c>
      <c r="C88" s="39" t="s">
        <v>123</v>
      </c>
      <c r="D88" s="232">
        <f>IFERROR(_xlfn.XLOOKUP(Transaksi[[#This Row],[Keterangan]],COA[Nama Akun],COA[COA]),"")</f>
        <v>1106</v>
      </c>
      <c r="E88" s="9"/>
      <c r="F88" s="9">
        <v>6100</v>
      </c>
    </row>
    <row r="89" spans="2:7">
      <c r="B89" s="53">
        <v>45789</v>
      </c>
      <c r="C89" s="39" t="s">
        <v>415</v>
      </c>
      <c r="D89" s="232">
        <f>IFERROR(_xlfn.XLOOKUP(Transaksi[[#This Row],[Keterangan]],COA[Nama Akun],COA[COA]),"")</f>
        <v>5102</v>
      </c>
      <c r="E89" s="9">
        <v>600000</v>
      </c>
      <c r="F89" s="9"/>
    </row>
    <row r="90" spans="2:7">
      <c r="B90" s="53">
        <v>45789</v>
      </c>
      <c r="C90" s="39" t="s">
        <v>428</v>
      </c>
      <c r="D90" s="232">
        <f>IFERROR(_xlfn.XLOOKUP(Transaksi[[#This Row],[Keterangan]],COA[Nama Akun],COA[COA]),"")</f>
        <v>2102</v>
      </c>
      <c r="E90" s="9"/>
      <c r="F90" s="9">
        <v>60000</v>
      </c>
    </row>
    <row r="91" spans="2:7">
      <c r="B91" s="53">
        <v>45789</v>
      </c>
      <c r="C91" s="39" t="s">
        <v>429</v>
      </c>
      <c r="D91" s="232">
        <f>IFERROR(_xlfn.XLOOKUP(Transaksi[[#This Row],[Keterangan]],COA[Nama Akun],COA[COA]),"")</f>
        <v>2103</v>
      </c>
      <c r="E91" s="9"/>
      <c r="F91" s="9">
        <v>540000</v>
      </c>
    </row>
    <row r="92" spans="2:7">
      <c r="B92" s="53">
        <v>45792</v>
      </c>
      <c r="C92" s="39" t="s">
        <v>196</v>
      </c>
      <c r="D92" s="232">
        <f>IFERROR(_xlfn.XLOOKUP(Transaksi[[#This Row],[Keterangan]],COA[Nama Akun],COA[COA]),"")</f>
        <v>2103</v>
      </c>
      <c r="E92" s="9">
        <v>540000</v>
      </c>
      <c r="F92" s="9"/>
    </row>
    <row r="93" spans="2:7">
      <c r="B93" s="53">
        <v>45792</v>
      </c>
      <c r="C93" s="39" t="s">
        <v>398</v>
      </c>
      <c r="D93" s="232">
        <f>IFERROR(_xlfn.XLOOKUP(Transaksi[[#This Row],[Keterangan]],COA[Nama Akun],COA[COA]),"")</f>
        <v>1101</v>
      </c>
      <c r="E93" s="9"/>
      <c r="F93" s="9">
        <v>540000</v>
      </c>
    </row>
    <row r="94" spans="2:7">
      <c r="B94" s="53">
        <v>45792</v>
      </c>
      <c r="C94" s="39" t="s">
        <v>417</v>
      </c>
      <c r="D94" s="232">
        <f>IFERROR(_xlfn.XLOOKUP(Transaksi[[#This Row],[Keterangan]],COA[Nama Akun],COA[COA]),"")</f>
        <v>5104</v>
      </c>
      <c r="E94" s="9">
        <v>110000</v>
      </c>
      <c r="F94" s="9"/>
    </row>
    <row r="95" spans="2:7">
      <c r="B95" s="53">
        <v>45792</v>
      </c>
      <c r="C95" s="39" t="s">
        <v>398</v>
      </c>
      <c r="D95" s="232">
        <f>IFERROR(_xlfn.XLOOKUP(Transaksi[[#This Row],[Keterangan]],COA[Nama Akun],COA[COA]),"")</f>
        <v>1101</v>
      </c>
      <c r="E95" s="9"/>
      <c r="F95" s="9">
        <v>110000</v>
      </c>
    </row>
    <row r="96" spans="2:7">
      <c r="B96" s="53">
        <v>45796</v>
      </c>
      <c r="C96" s="39" t="s">
        <v>183</v>
      </c>
      <c r="D96" s="232">
        <f>IFERROR(_xlfn.XLOOKUP(Transaksi[[#This Row],[Keterangan]],COA[Nama Akun],COA[COA]),"")</f>
        <v>1103</v>
      </c>
      <c r="E96" s="9">
        <f>SUM(F97:F98)</f>
        <v>7864905</v>
      </c>
      <c r="F96" s="9"/>
    </row>
    <row r="97" spans="1:7">
      <c r="B97" s="53">
        <v>45796</v>
      </c>
      <c r="C97" s="39" t="s">
        <v>149</v>
      </c>
      <c r="D97" s="232">
        <f>IFERROR(_xlfn.XLOOKUP(Transaksi[[#This Row],[Keterangan]],COA[Nama Akun],COA[COA]),"")</f>
        <v>4101</v>
      </c>
      <c r="E97" s="9"/>
      <c r="F97" s="9">
        <f>Measurements!AQ39+Measurements!AQ42+Measurements!AQ45</f>
        <v>7085500</v>
      </c>
    </row>
    <row r="98" spans="1:7">
      <c r="B98" s="53">
        <v>45796</v>
      </c>
      <c r="C98" s="39" t="s">
        <v>151</v>
      </c>
      <c r="D98" s="232">
        <f>IFERROR(_xlfn.XLOOKUP(Transaksi[[#This Row],[Keterangan]],COA[Nama Akun],COA[COA]),"")</f>
        <v>2106</v>
      </c>
      <c r="E98" s="9"/>
      <c r="F98" s="9">
        <f>Measurements!AR39+Measurements!AR42+Measurements!AR45</f>
        <v>779405</v>
      </c>
    </row>
    <row r="99" spans="1:7">
      <c r="B99" s="53">
        <v>45796</v>
      </c>
      <c r="C99" s="39" t="s">
        <v>146</v>
      </c>
      <c r="D99" s="232">
        <f>IFERROR(_xlfn.XLOOKUP(Transaksi[[#This Row],[Keterangan]],COA[Nama Akun],COA[COA]),"")</f>
        <v>4103</v>
      </c>
      <c r="E99" s="9">
        <v>54905</v>
      </c>
      <c r="F99" s="9"/>
    </row>
    <row r="100" spans="1:7">
      <c r="B100" s="53">
        <v>45796</v>
      </c>
      <c r="C100" s="39" t="s">
        <v>425</v>
      </c>
      <c r="D100" s="232">
        <f>IFERROR(_xlfn.XLOOKUP(Transaksi[[#This Row],[Keterangan]],COA[Nama Akun],COA[COA]),"")</f>
        <v>1103</v>
      </c>
      <c r="E100" s="9"/>
      <c r="F100" s="9">
        <v>54905</v>
      </c>
    </row>
    <row r="101" spans="1:7">
      <c r="B101" s="53">
        <v>45803</v>
      </c>
      <c r="C101" s="39" t="s">
        <v>125</v>
      </c>
      <c r="D101" s="232">
        <f>IFERROR(_xlfn.XLOOKUP(Transaksi[[#This Row],[Keterangan]],COA[Nama Akun],COA[COA]),"")</f>
        <v>5109</v>
      </c>
      <c r="E101" s="9">
        <f>F102</f>
        <v>2858888.888888889</v>
      </c>
      <c r="F101" s="9"/>
    </row>
    <row r="102" spans="1:7">
      <c r="B102" s="53">
        <v>45803</v>
      </c>
      <c r="C102" s="39" t="s">
        <v>424</v>
      </c>
      <c r="D102" s="232">
        <f>IFERROR(_xlfn.XLOOKUP(Transaksi[[#This Row],[Keterangan]],COA[Nama Akun],COA[COA]),"")</f>
        <v>1104</v>
      </c>
      <c r="E102" s="9"/>
      <c r="F102" s="9">
        <f>SUM(Measurements!X17:X19)</f>
        <v>2858888.888888889</v>
      </c>
    </row>
    <row r="103" spans="1:7">
      <c r="B103" s="53">
        <v>45810</v>
      </c>
      <c r="C103" s="39" t="s">
        <v>184</v>
      </c>
      <c r="D103" s="232">
        <f>IFERROR(_xlfn.XLOOKUP(Transaksi[[#This Row],[Keterangan]],COA[Nama Akun],COA[COA]),"")</f>
        <v>1104</v>
      </c>
      <c r="E103" s="9">
        <f>SUM(Measurements!L21:L23)</f>
        <v>1700000</v>
      </c>
      <c r="F103" s="9"/>
      <c r="G103" s="47"/>
    </row>
    <row r="104" spans="1:7">
      <c r="B104" s="53">
        <v>45810</v>
      </c>
      <c r="C104" s="39" t="s">
        <v>150</v>
      </c>
      <c r="D104" s="232">
        <f>IFERROR(_xlfn.XLOOKUP(Transaksi[[#This Row],[Keterangan]],COA[Nama Akun],COA[COA]),"")</f>
        <v>1114</v>
      </c>
      <c r="E104" s="9">
        <v>47300</v>
      </c>
      <c r="F104" s="9"/>
      <c r="G104" s="47"/>
    </row>
    <row r="105" spans="1:7">
      <c r="A105" s="106"/>
      <c r="B105" s="53">
        <v>45810</v>
      </c>
      <c r="C105" s="39" t="s">
        <v>427</v>
      </c>
      <c r="D105" s="232">
        <f>IFERROR(_xlfn.XLOOKUP(Transaksi[[#This Row],[Keterangan]],COA[Nama Akun],COA[COA]),"")</f>
        <v>2101</v>
      </c>
      <c r="E105" s="9"/>
      <c r="F105" s="9">
        <f>SUM(E103:E104)</f>
        <v>1747300</v>
      </c>
      <c r="G105" s="47"/>
    </row>
    <row r="106" spans="1:7">
      <c r="B106" s="53">
        <v>45822</v>
      </c>
      <c r="C106" s="39" t="s">
        <v>195</v>
      </c>
      <c r="D106" s="232">
        <f>IFERROR(_xlfn.XLOOKUP(Transaksi[[#This Row],[Keterangan]],COA[Nama Akun],COA[COA]),"")</f>
        <v>2101</v>
      </c>
      <c r="E106" s="9">
        <v>7300</v>
      </c>
      <c r="F106" s="9"/>
    </row>
    <row r="107" spans="1:7">
      <c r="B107" s="53">
        <v>45822</v>
      </c>
      <c r="C107" s="39" t="s">
        <v>123</v>
      </c>
      <c r="D107" s="232">
        <f>IFERROR(_xlfn.XLOOKUP(Transaksi[[#This Row],[Keterangan]],COA[Nama Akun],COA[COA]),"")</f>
        <v>1106</v>
      </c>
      <c r="E107" s="9"/>
      <c r="F107" s="9">
        <v>7300</v>
      </c>
    </row>
    <row r="108" spans="1:7">
      <c r="B108" s="53">
        <v>45826</v>
      </c>
      <c r="C108" s="39" t="s">
        <v>415</v>
      </c>
      <c r="D108" s="232">
        <f>IFERROR(_xlfn.XLOOKUP(Transaksi[[#This Row],[Keterangan]],COA[Nama Akun],COA[COA]),"")</f>
        <v>5102</v>
      </c>
      <c r="E108" s="9">
        <v>600000</v>
      </c>
      <c r="F108" s="9"/>
    </row>
    <row r="109" spans="1:7">
      <c r="B109" s="53">
        <v>45826</v>
      </c>
      <c r="C109" s="39" t="s">
        <v>428</v>
      </c>
      <c r="D109" s="232">
        <f>IFERROR(_xlfn.XLOOKUP(Transaksi[[#This Row],[Keterangan]],COA[Nama Akun],COA[COA]),"")</f>
        <v>2102</v>
      </c>
      <c r="E109" s="9"/>
      <c r="F109" s="9">
        <v>60000</v>
      </c>
    </row>
    <row r="110" spans="1:7">
      <c r="B110" s="53">
        <v>45826</v>
      </c>
      <c r="C110" s="39" t="s">
        <v>429</v>
      </c>
      <c r="D110" s="232">
        <f>IFERROR(_xlfn.XLOOKUP(Transaksi[[#This Row],[Keterangan]],COA[Nama Akun],COA[COA]),"")</f>
        <v>2103</v>
      </c>
      <c r="E110" s="9"/>
      <c r="F110" s="9">
        <v>540000</v>
      </c>
    </row>
    <row r="111" spans="1:7">
      <c r="B111" s="53">
        <v>45828</v>
      </c>
      <c r="C111" s="39" t="s">
        <v>196</v>
      </c>
      <c r="D111" s="232">
        <f>IFERROR(_xlfn.XLOOKUP(Transaksi[[#This Row],[Keterangan]],COA[Nama Akun],COA[COA]),"")</f>
        <v>2103</v>
      </c>
      <c r="E111" s="9">
        <v>540000</v>
      </c>
      <c r="F111" s="9"/>
    </row>
    <row r="112" spans="1:7">
      <c r="B112" s="53">
        <v>45828</v>
      </c>
      <c r="C112" s="39" t="s">
        <v>398</v>
      </c>
      <c r="D112" s="232">
        <f>IFERROR(_xlfn.XLOOKUP(Transaksi[[#This Row],[Keterangan]],COA[Nama Akun],COA[COA]),"")</f>
        <v>1101</v>
      </c>
      <c r="E112" s="9"/>
      <c r="F112" s="9">
        <v>540000</v>
      </c>
    </row>
    <row r="113" spans="2:7">
      <c r="B113" s="53">
        <v>45832</v>
      </c>
      <c r="C113" s="39" t="s">
        <v>417</v>
      </c>
      <c r="D113" s="232">
        <f>IFERROR(_xlfn.XLOOKUP(Transaksi[[#This Row],[Keterangan]],COA[Nama Akun],COA[COA]),"")</f>
        <v>5104</v>
      </c>
      <c r="E113" s="9">
        <v>110000</v>
      </c>
      <c r="F113" s="9"/>
    </row>
    <row r="114" spans="2:7">
      <c r="B114" s="53">
        <v>45832</v>
      </c>
      <c r="C114" s="39" t="s">
        <v>398</v>
      </c>
      <c r="D114" s="232">
        <f>IFERROR(_xlfn.XLOOKUP(Transaksi[[#This Row],[Keterangan]],COA[Nama Akun],COA[COA]),"")</f>
        <v>1101</v>
      </c>
      <c r="E114" s="9"/>
      <c r="F114" s="9">
        <v>110000</v>
      </c>
    </row>
    <row r="115" spans="2:7">
      <c r="B115" s="53">
        <v>45833</v>
      </c>
      <c r="C115" s="39" t="s">
        <v>183</v>
      </c>
      <c r="D115" s="232">
        <f>IFERROR(_xlfn.XLOOKUP(Transaksi[[#This Row],[Keterangan]],COA[Nama Akun],COA[COA]),"")</f>
        <v>1103</v>
      </c>
      <c r="E115" s="9">
        <f>SUM(F116:F117)</f>
        <v>4819509</v>
      </c>
      <c r="F115" s="9"/>
    </row>
    <row r="116" spans="2:7">
      <c r="B116" s="53">
        <v>45833</v>
      </c>
      <c r="C116" s="39" t="s">
        <v>149</v>
      </c>
      <c r="D116" s="232">
        <f>IFERROR(_xlfn.XLOOKUP(Transaksi[[#This Row],[Keterangan]],COA[Nama Akun],COA[COA]),"")</f>
        <v>4101</v>
      </c>
      <c r="E116" s="9"/>
      <c r="F116" s="9">
        <f>Measurements!AQ48+Measurements!AQ51+Measurements!AQ54</f>
        <v>4341900</v>
      </c>
    </row>
    <row r="117" spans="2:7">
      <c r="B117" s="53">
        <v>45833</v>
      </c>
      <c r="C117" s="39" t="s">
        <v>151</v>
      </c>
      <c r="D117" s="232">
        <f>IFERROR(_xlfn.XLOOKUP(Transaksi[[#This Row],[Keterangan]],COA[Nama Akun],COA[COA]),"")</f>
        <v>2106</v>
      </c>
      <c r="E117" s="9"/>
      <c r="F117" s="9">
        <f>Measurements!AR48+Measurements!AR51+Measurements!AR54</f>
        <v>477609</v>
      </c>
    </row>
    <row r="118" spans="2:7">
      <c r="B118" s="53">
        <v>45833</v>
      </c>
      <c r="C118" s="39" t="s">
        <v>146</v>
      </c>
      <c r="D118" s="232">
        <f>IFERROR(_xlfn.XLOOKUP(Transaksi[[#This Row],[Keterangan]],COA[Nama Akun],COA[COA]),"")</f>
        <v>4103</v>
      </c>
      <c r="E118" s="9">
        <v>49509</v>
      </c>
      <c r="F118" s="9"/>
    </row>
    <row r="119" spans="2:7">
      <c r="B119" s="53">
        <v>45833</v>
      </c>
      <c r="C119" s="39" t="s">
        <v>425</v>
      </c>
      <c r="D119" s="232">
        <f>IFERROR(_xlfn.XLOOKUP(Transaksi[[#This Row],[Keterangan]],COA[Nama Akun],COA[COA]),"")</f>
        <v>1103</v>
      </c>
      <c r="E119" s="9"/>
      <c r="F119" s="9">
        <v>49509</v>
      </c>
    </row>
    <row r="120" spans="2:7">
      <c r="B120" s="53">
        <v>45835</v>
      </c>
      <c r="C120" s="39" t="s">
        <v>125</v>
      </c>
      <c r="D120" s="232">
        <f>IFERROR(_xlfn.XLOOKUP(Transaksi[[#This Row],[Keterangan]],COA[Nama Akun],COA[COA]),"")</f>
        <v>5109</v>
      </c>
      <c r="E120" s="9">
        <f>F121</f>
        <v>1730222.2222222222</v>
      </c>
      <c r="F120" s="9"/>
    </row>
    <row r="121" spans="2:7">
      <c r="B121" s="53">
        <v>45835</v>
      </c>
      <c r="C121" s="39" t="s">
        <v>424</v>
      </c>
      <c r="D121" s="232">
        <f>IFERROR(_xlfn.XLOOKUP(Transaksi[[#This Row],[Keterangan]],COA[Nama Akun],COA[COA]),"")</f>
        <v>1104</v>
      </c>
      <c r="E121" s="9"/>
      <c r="F121" s="9">
        <f>SUM(Measurements!X20:X22)</f>
        <v>1730222.2222222222</v>
      </c>
    </row>
    <row r="122" spans="2:7">
      <c r="B122" s="53">
        <v>45996</v>
      </c>
      <c r="C122" s="39" t="s">
        <v>184</v>
      </c>
      <c r="D122" s="232">
        <f>IFERROR(_xlfn.XLOOKUP(Transaksi[[#This Row],[Keterangan]],COA[Nama Akun],COA[COA]),"")</f>
        <v>1104</v>
      </c>
      <c r="E122" s="9">
        <f>SUM(Measurements!L24:L28)</f>
        <v>4780000</v>
      </c>
      <c r="F122" s="9"/>
      <c r="G122" s="47"/>
    </row>
    <row r="123" spans="2:7">
      <c r="B123" s="53">
        <v>45996</v>
      </c>
      <c r="C123" s="39" t="s">
        <v>150</v>
      </c>
      <c r="D123" s="232">
        <f>IFERROR(_xlfn.XLOOKUP(Transaksi[[#This Row],[Keterangan]],COA[Nama Akun],COA[COA]),"")</f>
        <v>1114</v>
      </c>
      <c r="E123" s="9">
        <f>28739+119900</f>
        <v>148639</v>
      </c>
      <c r="F123" s="9"/>
      <c r="G123" s="47"/>
    </row>
    <row r="124" spans="2:7">
      <c r="B124" s="53">
        <v>45996</v>
      </c>
      <c r="C124" s="39" t="s">
        <v>427</v>
      </c>
      <c r="D124" s="232">
        <f>IFERROR(_xlfn.XLOOKUP(Transaksi[[#This Row],[Keterangan]],COA[Nama Akun],COA[COA]),"")</f>
        <v>2101</v>
      </c>
      <c r="E124" s="9"/>
      <c r="F124" s="9">
        <f>SUM(E122:E123)</f>
        <v>4928639</v>
      </c>
      <c r="G124" s="47"/>
    </row>
    <row r="125" spans="2:7">
      <c r="B125" s="53">
        <v>46000</v>
      </c>
      <c r="C125" s="39" t="s">
        <v>415</v>
      </c>
      <c r="D125" s="232">
        <f>IFERROR(_xlfn.XLOOKUP(Transaksi[[#This Row],[Keterangan]],COA[Nama Akun],COA[COA]),"")</f>
        <v>5102</v>
      </c>
      <c r="E125" s="9">
        <v>600000</v>
      </c>
      <c r="F125" s="9"/>
    </row>
    <row r="126" spans="2:7">
      <c r="B126" s="53">
        <v>46000</v>
      </c>
      <c r="C126" s="39" t="s">
        <v>428</v>
      </c>
      <c r="D126" s="232">
        <f>IFERROR(_xlfn.XLOOKUP(Transaksi[[#This Row],[Keterangan]],COA[Nama Akun],COA[COA]),"")</f>
        <v>2102</v>
      </c>
      <c r="E126" s="9"/>
      <c r="F126" s="9">
        <v>60000</v>
      </c>
    </row>
    <row r="127" spans="2:7">
      <c r="B127" s="53">
        <v>46000</v>
      </c>
      <c r="C127" s="39" t="s">
        <v>429</v>
      </c>
      <c r="D127" s="232">
        <f>IFERROR(_xlfn.XLOOKUP(Transaksi[[#This Row],[Keterangan]],COA[Nama Akun],COA[COA]),"")</f>
        <v>2103</v>
      </c>
      <c r="E127" s="9"/>
      <c r="F127" s="9">
        <v>540000</v>
      </c>
    </row>
    <row r="128" spans="2:7">
      <c r="B128" s="53">
        <v>46003</v>
      </c>
      <c r="C128" s="39" t="s">
        <v>196</v>
      </c>
      <c r="D128" s="232">
        <f>IFERROR(_xlfn.XLOOKUP(Transaksi[[#This Row],[Keterangan]],COA[Nama Akun],COA[COA]),"")</f>
        <v>2103</v>
      </c>
      <c r="E128" s="9">
        <v>540000</v>
      </c>
      <c r="F128" s="9"/>
    </row>
    <row r="129" spans="2:7">
      <c r="B129" s="53">
        <v>46003</v>
      </c>
      <c r="C129" s="39" t="s">
        <v>398</v>
      </c>
      <c r="D129" s="232">
        <f>IFERROR(_xlfn.XLOOKUP(Transaksi[[#This Row],[Keterangan]],COA[Nama Akun],COA[COA]),"")</f>
        <v>1101</v>
      </c>
      <c r="E129" s="9"/>
      <c r="F129" s="9">
        <v>540000</v>
      </c>
    </row>
    <row r="130" spans="2:7">
      <c r="B130" s="53">
        <v>46003</v>
      </c>
      <c r="C130" s="39" t="s">
        <v>417</v>
      </c>
      <c r="D130" s="232">
        <f>IFERROR(_xlfn.XLOOKUP(Transaksi[[#This Row],[Keterangan]],COA[Nama Akun],COA[COA]),"")</f>
        <v>5104</v>
      </c>
      <c r="E130" s="9">
        <v>110000</v>
      </c>
      <c r="F130" s="9"/>
    </row>
    <row r="131" spans="2:7">
      <c r="B131" s="53">
        <v>46003</v>
      </c>
      <c r="C131" s="39" t="s">
        <v>398</v>
      </c>
      <c r="D131" s="232">
        <f>IFERROR(_xlfn.XLOOKUP(Transaksi[[#This Row],[Keterangan]],COA[Nama Akun],COA[COA]),"")</f>
        <v>1101</v>
      </c>
      <c r="E131" s="9"/>
      <c r="F131" s="9">
        <v>110000</v>
      </c>
    </row>
    <row r="132" spans="2:7">
      <c r="B132" s="53">
        <v>46006</v>
      </c>
      <c r="C132" s="39" t="s">
        <v>183</v>
      </c>
      <c r="D132" s="232">
        <f>IFERROR(_xlfn.XLOOKUP(Transaksi[[#This Row],[Keterangan]],COA[Nama Akun],COA[COA]),"")</f>
        <v>1103</v>
      </c>
      <c r="E132" s="9">
        <v>8018424.0545454547</v>
      </c>
      <c r="F132" s="9"/>
    </row>
    <row r="133" spans="2:7">
      <c r="B133" s="53">
        <v>46006</v>
      </c>
      <c r="C133" s="39" t="s">
        <v>149</v>
      </c>
      <c r="D133" s="232">
        <f>IFERROR(_xlfn.XLOOKUP(Transaksi[[#This Row],[Keterangan]],COA[Nama Akun],COA[COA]),"")</f>
        <v>4101</v>
      </c>
      <c r="E133" s="9"/>
      <c r="F133" s="9">
        <f>Measurements!AQ69+Measurements!AQ66+Measurements!AQ63+Measurements!AQ60+Measurements!AQ57+Measurements!AQ72</f>
        <v>7223805.4545454541</v>
      </c>
    </row>
    <row r="134" spans="2:7">
      <c r="B134" s="53">
        <v>46006</v>
      </c>
      <c r="C134" s="39" t="s">
        <v>151</v>
      </c>
      <c r="D134" s="232">
        <f>IFERROR(_xlfn.XLOOKUP(Transaksi[[#This Row],[Keterangan]],COA[Nama Akun],COA[COA]),"")</f>
        <v>2106</v>
      </c>
      <c r="E134" s="9"/>
      <c r="F134" s="9">
        <f>Measurements!AR69+Measurements!AR66+Measurements!AR63+Measurements!AR60+Measurements!AR57+Measurements!AR72</f>
        <v>794618.6</v>
      </c>
    </row>
    <row r="135" spans="2:7">
      <c r="B135" s="53">
        <v>46006</v>
      </c>
      <c r="C135" s="39" t="s">
        <v>146</v>
      </c>
      <c r="D135" s="232">
        <f>IFERROR(_xlfn.XLOOKUP(Transaksi[[#This Row],[Keterangan]],COA[Nama Akun],COA[COA]),"")</f>
        <v>4103</v>
      </c>
      <c r="E135" s="9">
        <f>Measurements!AT57+Measurements!AT60+Measurements!AT63+Measurements!AT66+Measurements!AT69+Measurements!AT72</f>
        <v>128424</v>
      </c>
      <c r="F135" s="9"/>
    </row>
    <row r="136" spans="2:7">
      <c r="B136" s="53">
        <v>46006</v>
      </c>
      <c r="C136" s="39" t="s">
        <v>425</v>
      </c>
      <c r="D136" s="232">
        <f>IFERROR(_xlfn.XLOOKUP(Transaksi[[#This Row],[Keterangan]],COA[Nama Akun],COA[COA]),"")</f>
        <v>1103</v>
      </c>
      <c r="E136" s="9"/>
      <c r="F136" s="9">
        <f>E135</f>
        <v>128424</v>
      </c>
      <c r="G136" s="47"/>
    </row>
    <row r="137" spans="2:7">
      <c r="B137" s="53">
        <v>46022</v>
      </c>
      <c r="C137" s="39" t="s">
        <v>283</v>
      </c>
      <c r="D137" s="232">
        <f>IFERROR(_xlfn.XLOOKUP(Transaksi[[#This Row],[Keterangan]],COA[Nama Akun],COA[COA]),"")</f>
        <v>4102</v>
      </c>
      <c r="E137" s="9">
        <f>E142*110%</f>
        <v>1880388.888888889</v>
      </c>
      <c r="F137" s="9"/>
      <c r="G137" s="47"/>
    </row>
    <row r="138" spans="2:7">
      <c r="B138" s="53">
        <v>46022</v>
      </c>
      <c r="C138" s="39" t="s">
        <v>329</v>
      </c>
      <c r="D138" s="232">
        <f>IFERROR(_xlfn.XLOOKUP(Transaksi[[#This Row],[Keterangan]],COA[Nama Akun],COA[COA]),"")</f>
        <v>2106</v>
      </c>
      <c r="E138" s="9">
        <f>11%*E137</f>
        <v>206842.77777777778</v>
      </c>
      <c r="F138" s="9"/>
      <c r="G138" s="47"/>
    </row>
    <row r="139" spans="2:7">
      <c r="B139" s="53">
        <v>46022</v>
      </c>
      <c r="C139" s="39" t="s">
        <v>425</v>
      </c>
      <c r="D139" s="232">
        <f>IFERROR(_xlfn.XLOOKUP(Transaksi[[#This Row],[Keterangan]],COA[Nama Akun],COA[COA]),"")</f>
        <v>1103</v>
      </c>
      <c r="E139" s="9"/>
      <c r="F139" s="9">
        <f>SUM(E137:E138)</f>
        <v>2087231.6666666667</v>
      </c>
      <c r="G139" s="47"/>
    </row>
    <row r="140" spans="2:7">
      <c r="B140" s="53">
        <v>46022</v>
      </c>
      <c r="C140" s="39" t="s">
        <v>497</v>
      </c>
      <c r="D140" s="232">
        <f>IFERROR(_xlfn.XLOOKUP(Transaksi[[#This Row],[Keterangan]],COA[Nama Akun],COA[COA]),"")</f>
        <v>5112</v>
      </c>
      <c r="E140" s="9">
        <f>0.5%*E158</f>
        <v>165231.02727272728</v>
      </c>
      <c r="F140" s="9"/>
      <c r="G140" s="47"/>
    </row>
    <row r="141" spans="2:7">
      <c r="B141" s="53">
        <v>46022</v>
      </c>
      <c r="C141" s="39" t="s">
        <v>428</v>
      </c>
      <c r="D141" s="232">
        <f>IFERROR(_xlfn.XLOOKUP(Transaksi[[#This Row],[Keterangan]],COA[Nama Akun],COA[COA]),"")</f>
        <v>2102</v>
      </c>
      <c r="E141" s="9"/>
      <c r="F141" s="9">
        <f>E140</f>
        <v>165231.02727272728</v>
      </c>
      <c r="G141" s="47"/>
    </row>
    <row r="142" spans="2:7">
      <c r="B142" s="53">
        <v>46022</v>
      </c>
      <c r="C142" s="39" t="s">
        <v>184</v>
      </c>
      <c r="D142" s="232">
        <f>IFERROR(_xlfn.XLOOKUP(Transaksi[[#This Row],[Keterangan]],COA[Nama Akun],COA[COA]),"")</f>
        <v>1104</v>
      </c>
      <c r="E142" s="9">
        <f>Measurements!L29</f>
        <v>1709444.4444444445</v>
      </c>
      <c r="F142" s="9"/>
    </row>
    <row r="143" spans="2:7">
      <c r="B143" s="53">
        <v>46022</v>
      </c>
      <c r="C143" s="39" t="s">
        <v>126</v>
      </c>
      <c r="D143" s="232">
        <f>IFERROR(_xlfn.XLOOKUP(Transaksi[[#This Row],[Keterangan]],COA[Nama Akun],COA[COA]),"")</f>
        <v>5109</v>
      </c>
      <c r="E143" s="9"/>
      <c r="F143" s="9">
        <f>E142</f>
        <v>1709444.4444444445</v>
      </c>
    </row>
    <row r="144" spans="2:7">
      <c r="B144" s="53">
        <v>46022</v>
      </c>
      <c r="C144" s="39" t="s">
        <v>125</v>
      </c>
      <c r="D144" s="232">
        <f>IFERROR(_xlfn.XLOOKUP(Transaksi[[#This Row],[Keterangan]],COA[Nama Akun],COA[COA]),"")</f>
        <v>5109</v>
      </c>
      <c r="E144" s="9">
        <f>F145</f>
        <v>4379390.4761904767</v>
      </c>
      <c r="F144" s="9"/>
    </row>
    <row r="145" spans="2:7">
      <c r="B145" s="53">
        <v>46022</v>
      </c>
      <c r="C145" s="39" t="s">
        <v>424</v>
      </c>
      <c r="D145" s="232">
        <f>IFERROR(_xlfn.XLOOKUP(Transaksi[[#This Row],[Keterangan]],COA[Nama Akun],COA[COA]),"")</f>
        <v>1104</v>
      </c>
      <c r="E145" s="9"/>
      <c r="F145" s="9">
        <f>SUM(Measurements!X23:X28)</f>
        <v>4379390.4761904767</v>
      </c>
      <c r="G145" s="68"/>
    </row>
    <row r="146" spans="2:7">
      <c r="B146" s="53">
        <v>46022</v>
      </c>
      <c r="C146" s="39" t="s">
        <v>418</v>
      </c>
      <c r="D146" s="232">
        <f>IFERROR(_xlfn.XLOOKUP(Transaksi[[#This Row],[Keterangan]],COA[Nama Akun],COA[COA]),"")</f>
        <v>5105</v>
      </c>
      <c r="E146" s="9">
        <f>F147</f>
        <v>300000</v>
      </c>
      <c r="F146" s="9"/>
    </row>
    <row r="147" spans="2:7">
      <c r="B147" s="53">
        <v>46022</v>
      </c>
      <c r="C147" s="39" t="s">
        <v>450</v>
      </c>
      <c r="D147" s="232">
        <f>IFERROR(_xlfn.XLOOKUP(Transaksi[[#This Row],[Keterangan]],COA[Nama Akun],COA[COA]),"")</f>
        <v>1110</v>
      </c>
      <c r="E147" s="9"/>
      <c r="F147" s="9">
        <f>Penyusutan!C41</f>
        <v>300000</v>
      </c>
    </row>
    <row r="148" spans="2:7">
      <c r="B148" s="53">
        <v>46022</v>
      </c>
      <c r="C148" s="39" t="s">
        <v>418</v>
      </c>
      <c r="D148" s="232">
        <f>IFERROR(_xlfn.XLOOKUP(Transaksi[[#This Row],[Keterangan]],COA[Nama Akun],COA[COA]),"")</f>
        <v>5105</v>
      </c>
      <c r="E148" s="9">
        <f>F149</f>
        <v>100000</v>
      </c>
      <c r="F148" s="9"/>
    </row>
    <row r="149" spans="2:7">
      <c r="B149" s="53">
        <v>46022</v>
      </c>
      <c r="C149" s="39" t="s">
        <v>453</v>
      </c>
      <c r="D149" s="232">
        <f>IFERROR(_xlfn.XLOOKUP(Transaksi[[#This Row],[Keterangan]],COA[Nama Akun],COA[COA]),"")</f>
        <v>1108</v>
      </c>
      <c r="E149" s="9"/>
      <c r="F149" s="9">
        <f>Penyusutan!G41</f>
        <v>100000</v>
      </c>
    </row>
    <row r="150" spans="2:7">
      <c r="B150" s="53">
        <v>46022</v>
      </c>
      <c r="C150" s="39" t="s">
        <v>332</v>
      </c>
      <c r="D150" s="232">
        <f>IFERROR(_xlfn.XLOOKUP(Transaksi[[#This Row],[Keterangan]],COA[Nama Akun],COA[COA]),"")</f>
        <v>5999</v>
      </c>
      <c r="E150" s="9">
        <f>SUM(F151:F157)</f>
        <v>21391178.484729052</v>
      </c>
      <c r="F150" s="9"/>
    </row>
    <row r="151" spans="2:7">
      <c r="B151" s="53">
        <v>46022</v>
      </c>
      <c r="C151" s="39" t="s">
        <v>67</v>
      </c>
      <c r="D151" s="232">
        <f>IFERROR(_xlfn.XLOOKUP(Transaksi[[#This Row],[Keterangan]],COA[Nama Akun],COA[COA]),"")</f>
        <v>5102</v>
      </c>
      <c r="E151" s="9"/>
      <c r="F151" s="9">
        <f>E16+E37+E54+E70+E89+E108+E125</f>
        <v>4200000</v>
      </c>
      <c r="G151" s="68"/>
    </row>
    <row r="152" spans="2:7">
      <c r="B152" s="53">
        <v>46022</v>
      </c>
      <c r="C152" s="39" t="s">
        <v>422</v>
      </c>
      <c r="D152" s="232">
        <f>IFERROR(_xlfn.XLOOKUP(Transaksi[[#This Row],[Keterangan]],COA[Nama Akun],COA[COA]),"")</f>
        <v>5104</v>
      </c>
      <c r="E152" s="9"/>
      <c r="F152" s="9">
        <f>E14+E30+E59+E94+E75+E113+E130</f>
        <v>770000</v>
      </c>
    </row>
    <row r="153" spans="2:7">
      <c r="B153" s="53">
        <v>46022</v>
      </c>
      <c r="C153" s="39" t="s">
        <v>126</v>
      </c>
      <c r="D153" s="232">
        <f>IFERROR(_xlfn.XLOOKUP(Transaksi[[#This Row],[Keterangan]],COA[Nama Akun],COA[COA]),"")</f>
        <v>5109</v>
      </c>
      <c r="E153" s="9"/>
      <c r="F153" s="9">
        <f>E28+E47+E66+E82+E101+E120+E144-F143</f>
        <v>13565595.568567436</v>
      </c>
    </row>
    <row r="154" spans="2:7">
      <c r="B154" s="53">
        <v>46022</v>
      </c>
      <c r="C154" s="39" t="s">
        <v>147</v>
      </c>
      <c r="D154" s="232">
        <f>IFERROR(_xlfn.XLOOKUP(Transaksi[[#This Row],[Keterangan]],COA[Nama Akun],COA[COA]),"")</f>
        <v>4103</v>
      </c>
      <c r="E154" s="9"/>
      <c r="F154" s="9">
        <f>E26+E45+E64+E80+E99+E118+E135</f>
        <v>409963</v>
      </c>
    </row>
    <row r="155" spans="2:7">
      <c r="B155" s="53">
        <v>46022</v>
      </c>
      <c r="C155" s="39" t="s">
        <v>284</v>
      </c>
      <c r="D155" s="232">
        <f>IFERROR(_xlfn.XLOOKUP(Transaksi[[#This Row],[Keterangan]],COA[Nama Akun],COA[COA]),"")</f>
        <v>4102</v>
      </c>
      <c r="E155" s="9"/>
      <c r="F155" s="9">
        <f>E137</f>
        <v>1880388.888888889</v>
      </c>
    </row>
    <row r="156" spans="2:7">
      <c r="B156" s="53">
        <v>46022</v>
      </c>
      <c r="C156" s="39" t="s">
        <v>433</v>
      </c>
      <c r="D156" s="232">
        <f>IFERROR(_xlfn.XLOOKUP(Transaksi[[#This Row],[Keterangan]],COA[Nama Akun],COA[COA]),"")</f>
        <v>5105</v>
      </c>
      <c r="E156" s="9"/>
      <c r="F156" s="9">
        <f>E146+E148</f>
        <v>400000</v>
      </c>
    </row>
    <row r="157" spans="2:7">
      <c r="B157" s="53">
        <v>46022</v>
      </c>
      <c r="C157" s="39" t="s">
        <v>498</v>
      </c>
      <c r="D157" s="232">
        <f>IFERROR(_xlfn.XLOOKUP(Transaksi[[#This Row],[Keterangan]],COA[Nama Akun],COA[COA]),"")</f>
        <v>5112</v>
      </c>
      <c r="E157" s="9"/>
      <c r="F157" s="9">
        <f>E140</f>
        <v>165231.02727272728</v>
      </c>
    </row>
    <row r="158" spans="2:7">
      <c r="B158" s="53">
        <v>46022</v>
      </c>
      <c r="C158" s="39" t="s">
        <v>211</v>
      </c>
      <c r="D158" s="232">
        <f>IFERROR(_xlfn.XLOOKUP(Transaksi[[#This Row],[Keterangan]],COA[Nama Akun],COA[COA]),"")</f>
        <v>4101</v>
      </c>
      <c r="E158" s="9">
        <f>F24+F43+F62+F78+F97+F116+F133</f>
        <v>33046205.454545453</v>
      </c>
      <c r="F158" s="9"/>
    </row>
    <row r="159" spans="2:7">
      <c r="B159" s="53">
        <v>46022</v>
      </c>
      <c r="C159" s="39" t="s">
        <v>333</v>
      </c>
      <c r="D159" s="232">
        <f>IFERROR(_xlfn.XLOOKUP(Transaksi[[#This Row],[Keterangan]],COA[Nama Akun],COA[COA]),"")</f>
        <v>5999</v>
      </c>
      <c r="E159" s="9"/>
      <c r="F159" s="9">
        <f>SUM(E158:E158)</f>
        <v>33046205.454545453</v>
      </c>
    </row>
    <row r="160" spans="2:7">
      <c r="B160" s="53">
        <v>46022</v>
      </c>
      <c r="C160" s="39" t="s">
        <v>332</v>
      </c>
      <c r="D160" s="232">
        <f>IFERROR(_xlfn.XLOOKUP(Transaksi[[#This Row],[Keterangan]],COA[Nama Akun],COA[COA]),"")</f>
        <v>5999</v>
      </c>
      <c r="E160" s="9">
        <f>F159-E150</f>
        <v>11655026.969816402</v>
      </c>
      <c r="F160" s="9"/>
    </row>
    <row r="161" spans="2:6">
      <c r="B161" s="53">
        <v>46022</v>
      </c>
      <c r="C161" s="39" t="s">
        <v>430</v>
      </c>
      <c r="D161" s="232">
        <f>IFERROR(_xlfn.XLOOKUP(Transaksi[[#This Row],[Keterangan]],COA[Nama Akun],COA[COA]),"")</f>
        <v>3103</v>
      </c>
      <c r="E161" s="9"/>
      <c r="F161" s="9">
        <f>E160</f>
        <v>11655026.969816402</v>
      </c>
    </row>
    <row r="162" spans="2:6">
      <c r="B162" s="116" t="s">
        <v>51</v>
      </c>
      <c r="C162" s="116"/>
      <c r="D162" s="117">
        <f>E162-F162</f>
        <v>0</v>
      </c>
      <c r="E162" s="118">
        <f>SUBTOTAL(109,Transaksi[Debit])</f>
        <v>170437378.11503208</v>
      </c>
      <c r="F162" s="118">
        <f>SUBTOTAL(109,Transaksi[Kredit])</f>
        <v>170437378.11503208</v>
      </c>
    </row>
    <row r="163" spans="2:6">
      <c r="E163" s="149" t="str">
        <f>IF(F162&gt;E162,F162-E162,"")</f>
        <v/>
      </c>
      <c r="F163" s="149" t="str">
        <f>IF(E162&gt;F162,E162-F162,"")</f>
        <v/>
      </c>
    </row>
    <row r="165" spans="2:6">
      <c r="E165" s="68"/>
    </row>
    <row r="177" spans="8:12">
      <c r="H177" s="10" t="s">
        <v>282</v>
      </c>
      <c r="I177" s="10" t="s">
        <v>141</v>
      </c>
      <c r="J177" s="10" t="s">
        <v>143</v>
      </c>
      <c r="K177" s="10" t="s">
        <v>140</v>
      </c>
      <c r="L177" s="10" t="s">
        <v>142</v>
      </c>
    </row>
    <row r="178" spans="8:12">
      <c r="H178" s="47">
        <v>1005000</v>
      </c>
      <c r="I178" s="47">
        <v>110550</v>
      </c>
      <c r="J178" s="47">
        <v>1115550</v>
      </c>
      <c r="K178" s="47">
        <v>15550</v>
      </c>
      <c r="L178" s="47">
        <v>1100000</v>
      </c>
    </row>
    <row r="179" spans="8:12">
      <c r="H179" s="47">
        <v>972500</v>
      </c>
      <c r="I179" s="47">
        <v>106975</v>
      </c>
      <c r="J179" s="47">
        <v>1079475</v>
      </c>
      <c r="K179" s="47">
        <v>19475</v>
      </c>
      <c r="L179" s="47">
        <v>1060000</v>
      </c>
    </row>
    <row r="180" spans="8:12">
      <c r="H180" s="47">
        <v>1105000</v>
      </c>
      <c r="I180" s="47">
        <v>121550</v>
      </c>
      <c r="J180" s="47">
        <v>1226550</v>
      </c>
      <c r="K180" s="47">
        <v>16550</v>
      </c>
      <c r="L180" s="47">
        <v>1210000</v>
      </c>
    </row>
    <row r="181" spans="8:12">
      <c r="H181" s="47">
        <v>1175000</v>
      </c>
      <c r="I181" s="47">
        <v>129250</v>
      </c>
      <c r="J181" s="47">
        <v>1304250</v>
      </c>
      <c r="K181" s="47">
        <v>14250</v>
      </c>
      <c r="L181" s="47">
        <v>1290000</v>
      </c>
    </row>
    <row r="182" spans="8:12">
      <c r="H182" s="47">
        <v>1007500</v>
      </c>
      <c r="I182" s="47">
        <v>110825</v>
      </c>
      <c r="J182" s="47">
        <v>1118325</v>
      </c>
      <c r="K182" s="47">
        <v>18325</v>
      </c>
      <c r="L182" s="47">
        <v>1100000</v>
      </c>
    </row>
    <row r="183" spans="8:12">
      <c r="H183" s="47">
        <v>1105000</v>
      </c>
      <c r="I183" s="47">
        <v>121550</v>
      </c>
      <c r="J183" s="47">
        <v>1226550</v>
      </c>
      <c r="K183" s="47">
        <v>26550</v>
      </c>
      <c r="L183" s="47">
        <v>1200000</v>
      </c>
    </row>
    <row r="184" spans="8:12">
      <c r="H184" s="47">
        <v>555000</v>
      </c>
      <c r="I184" s="47">
        <v>61050</v>
      </c>
      <c r="J184" s="47">
        <v>616050</v>
      </c>
      <c r="K184" s="47">
        <v>16050</v>
      </c>
      <c r="L184" s="47">
        <v>600000</v>
      </c>
    </row>
    <row r="185" spans="8:12">
      <c r="H185" s="151">
        <f>SUM(H178:H184)</f>
        <v>6925000</v>
      </c>
      <c r="I185" s="151">
        <f t="shared" ref="I185:L185" si="0">SUM(I178:I184)</f>
        <v>761750</v>
      </c>
      <c r="J185" s="151">
        <f t="shared" si="0"/>
        <v>7686750</v>
      </c>
      <c r="K185" s="151">
        <f t="shared" si="0"/>
        <v>126750</v>
      </c>
      <c r="L185" s="151">
        <f t="shared" si="0"/>
        <v>7560000</v>
      </c>
    </row>
  </sheetData>
  <pageMargins left="0.7" right="0.7" top="0.75" bottom="0.75" header="0.3" footer="0.3"/>
  <pageSetup paperSize="9" orientation="portrait"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1FC12154-5599-47AA-BA90-FC90A335D6B1}">
          <x14:formula1>
            <xm:f>'Kode Akun'!$D:$D</xm:f>
          </x14:formula1>
          <xm:sqref>C8:C161</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9A7E7-2F61-43D5-813C-71A67C5C57AA}">
  <sheetPr>
    <tabColor theme="9"/>
  </sheetPr>
  <dimension ref="B1:P192"/>
  <sheetViews>
    <sheetView showGridLines="0" showRowColHeaders="0" view="pageBreakPreview" zoomScale="95" zoomScaleNormal="80" zoomScaleSheetLayoutView="95" workbookViewId="0">
      <pane ySplit="7" topLeftCell="A8" activePane="bottomLeft" state="frozen"/>
      <selection pane="bottomLeft" activeCell="A13" sqref="A13"/>
    </sheetView>
  </sheetViews>
  <sheetFormatPr defaultRowHeight="15"/>
  <cols>
    <col min="1" max="1" width="9.140625" style="10"/>
    <col min="2" max="2" width="21" style="10" bestFit="1" customWidth="1"/>
    <col min="3" max="3" width="34.28515625" style="10" bestFit="1" customWidth="1"/>
    <col min="4" max="4" width="10.5703125" style="10" bestFit="1" customWidth="1"/>
    <col min="5" max="7" width="17" style="10" bestFit="1" customWidth="1"/>
    <col min="8" max="8" width="17.42578125" style="10" bestFit="1" customWidth="1"/>
    <col min="9" max="9" width="19.5703125" style="10" bestFit="1" customWidth="1"/>
    <col min="10" max="10" width="11.5703125" style="10" bestFit="1" customWidth="1"/>
    <col min="11" max="11" width="10.85546875" style="10" bestFit="1" customWidth="1"/>
    <col min="12" max="12" width="11.5703125" style="10" bestFit="1" customWidth="1"/>
    <col min="13" max="13" width="10.5703125" style="10" bestFit="1" customWidth="1"/>
    <col min="14" max="14" width="9.5703125" style="10" bestFit="1" customWidth="1"/>
    <col min="15" max="15" width="10.5703125" style="10" bestFit="1" customWidth="1"/>
    <col min="16" max="16" width="9.140625" style="10"/>
    <col min="17" max="17" width="10.5703125" style="10" bestFit="1" customWidth="1"/>
    <col min="18" max="16384" width="9.140625" style="10"/>
  </cols>
  <sheetData>
    <row r="1" spans="2:6" s="6" customFormat="1"/>
    <row r="2" spans="2:6" s="6" customFormat="1"/>
    <row r="3" spans="2:6" s="6" customFormat="1"/>
    <row r="4" spans="2:6" s="6" customFormat="1">
      <c r="B4" s="7"/>
      <c r="C4" s="7"/>
      <c r="D4" s="7"/>
      <c r="E4" s="7"/>
      <c r="F4" s="7"/>
    </row>
    <row r="5" spans="2:6" s="6" customFormat="1"/>
    <row r="6" spans="2:6" s="6" customFormat="1"/>
    <row r="7" spans="2:6" s="6" customFormat="1" ht="30" customHeight="1">
      <c r="B7" s="8" t="s">
        <v>63</v>
      </c>
      <c r="C7" s="8" t="s">
        <v>0</v>
      </c>
      <c r="D7" s="8" t="s">
        <v>311</v>
      </c>
      <c r="E7" s="8" t="s">
        <v>49</v>
      </c>
      <c r="F7" s="8" t="s">
        <v>61</v>
      </c>
    </row>
    <row r="8" spans="2:6">
      <c r="B8" s="53">
        <v>46023</v>
      </c>
      <c r="C8" s="39" t="s">
        <v>187</v>
      </c>
      <c r="D8" s="150">
        <f>IFERROR(_xlfn.XLOOKUP(Transaksi2026[[#This Row],[Keterangan]],COA[Nama Akun],COA[COA]),"")</f>
        <v>1101</v>
      </c>
      <c r="E8" s="9">
        <f>Utang!H13</f>
        <v>11134740.440668393</v>
      </c>
      <c r="F8" s="9"/>
    </row>
    <row r="9" spans="2:6">
      <c r="B9" s="53">
        <v>46023</v>
      </c>
      <c r="C9" s="39" t="s">
        <v>365</v>
      </c>
      <c r="D9" s="150">
        <f>IFERROR(_xlfn.XLOOKUP(Transaksi2026[[#This Row],[Keterangan]],COA[Nama Akun],COA[COA]),"")</f>
        <v>2106</v>
      </c>
      <c r="E9" s="9"/>
      <c r="F9" s="9">
        <f>Utang!H14</f>
        <v>1134740.4406683929</v>
      </c>
    </row>
    <row r="10" spans="2:6">
      <c r="B10" s="53">
        <v>46023</v>
      </c>
      <c r="C10" s="39" t="s">
        <v>362</v>
      </c>
      <c r="D10" s="150">
        <f>IFERROR(_xlfn.XLOOKUP(Transaksi2026[[#This Row],[Keterangan]],COA[Nama Akun],COA[COA]),"")</f>
        <v>2105</v>
      </c>
      <c r="E10" s="9"/>
      <c r="F10" s="9">
        <f>E8-F9</f>
        <v>10000000</v>
      </c>
    </row>
    <row r="11" spans="2:6">
      <c r="B11" s="53">
        <v>46023</v>
      </c>
      <c r="C11" s="39" t="s">
        <v>500</v>
      </c>
      <c r="D11" s="150">
        <f>IFERROR(_xlfn.XLOOKUP(Transaksi2026[[#This Row],[Keterangan]],COA[Nama Akun],COA[COA]),"")</f>
        <v>1116</v>
      </c>
      <c r="E11" s="9">
        <f>Utang!H86</f>
        <v>9308482.8922287412</v>
      </c>
      <c r="F11" s="9"/>
    </row>
    <row r="12" spans="2:6">
      <c r="B12" s="53">
        <v>46023</v>
      </c>
      <c r="C12" s="39" t="s">
        <v>398</v>
      </c>
      <c r="D12" s="150">
        <f>IFERROR(_xlfn.XLOOKUP(Transaksi2026[[#This Row],[Keterangan]],COA[Nama Akun],COA[COA]),"")</f>
        <v>1101</v>
      </c>
      <c r="E12" s="9"/>
      <c r="F12" s="9">
        <f>E11</f>
        <v>9308482.8922287412</v>
      </c>
    </row>
    <row r="13" spans="2:6">
      <c r="B13" s="53">
        <v>46023</v>
      </c>
      <c r="C13" s="39" t="s">
        <v>187</v>
      </c>
      <c r="D13" s="150">
        <f>IFERROR(_xlfn.XLOOKUP(Transaksi2026[[#This Row],[Keterangan]],COA[Nama Akun],COA[COA]),"")</f>
        <v>1101</v>
      </c>
      <c r="E13" s="9">
        <v>5000000</v>
      </c>
      <c r="F13" s="9"/>
    </row>
    <row r="14" spans="2:6">
      <c r="B14" s="53">
        <v>46023</v>
      </c>
      <c r="C14" s="39" t="s">
        <v>368</v>
      </c>
      <c r="D14" s="150">
        <f>IFERROR(_xlfn.XLOOKUP(Transaksi2026[[#This Row],[Keterangan]],COA[Nama Akun],COA[COA]),"")</f>
        <v>2108</v>
      </c>
      <c r="E14" s="9"/>
      <c r="F14" s="9">
        <v>5000000</v>
      </c>
    </row>
    <row r="15" spans="2:6">
      <c r="B15" s="53">
        <v>46024</v>
      </c>
      <c r="C15" s="39" t="s">
        <v>184</v>
      </c>
      <c r="D15" s="150">
        <f>IFERROR(_xlfn.XLOOKUP(Transaksi2026[[#This Row],[Keterangan]],COA[Nama Akun],COA[COA]),"")</f>
        <v>1104</v>
      </c>
      <c r="E15" s="9">
        <v>4590000</v>
      </c>
      <c r="F15" s="9"/>
    </row>
    <row r="16" spans="2:6">
      <c r="B16" s="53">
        <v>46024</v>
      </c>
      <c r="C16" s="39" t="s">
        <v>150</v>
      </c>
      <c r="D16" s="150">
        <f>IFERROR(_xlfn.XLOOKUP(Transaksi2026[[#This Row],[Keterangan]],COA[Nama Akun],COA[COA]),"")</f>
        <v>1114</v>
      </c>
      <c r="E16" s="9">
        <f>E15*11%</f>
        <v>504900</v>
      </c>
      <c r="F16" s="9"/>
    </row>
    <row r="17" spans="2:12">
      <c r="B17" s="53">
        <v>46024</v>
      </c>
      <c r="C17" s="39" t="s">
        <v>427</v>
      </c>
      <c r="D17" s="150">
        <f>IFERROR(_xlfn.XLOOKUP(Transaksi2026[[#This Row],[Keterangan]],COA[Nama Akun],COA[COA]),"")</f>
        <v>2101</v>
      </c>
      <c r="E17" s="9"/>
      <c r="F17" s="9">
        <v>5094900</v>
      </c>
    </row>
    <row r="18" spans="2:12">
      <c r="B18" s="53">
        <v>46024</v>
      </c>
      <c r="C18" s="39" t="s">
        <v>195</v>
      </c>
      <c r="D18" s="150">
        <f>IFERROR(_xlfn.XLOOKUP(Transaksi2026[[#This Row],[Keterangan]],COA[Nama Akun],COA[COA]),"")</f>
        <v>2101</v>
      </c>
      <c r="E18" s="9">
        <v>14900</v>
      </c>
      <c r="F18" s="9"/>
    </row>
    <row r="19" spans="2:12">
      <c r="B19" s="53">
        <v>46024</v>
      </c>
      <c r="C19" s="39" t="s">
        <v>123</v>
      </c>
      <c r="D19" s="150">
        <f>IFERROR(_xlfn.XLOOKUP(Transaksi2026[[#This Row],[Keterangan]],COA[Nama Akun],COA[COA]),"")</f>
        <v>1106</v>
      </c>
      <c r="E19" s="9"/>
      <c r="F19" s="9">
        <v>14900</v>
      </c>
      <c r="I19" s="47"/>
    </row>
    <row r="20" spans="2:12">
      <c r="B20" s="53">
        <v>46041</v>
      </c>
      <c r="C20" s="39" t="s">
        <v>415</v>
      </c>
      <c r="D20" s="150">
        <f>IFERROR(_xlfn.XLOOKUP(Transaksi2026[[#This Row],[Keterangan]],COA[Nama Akun],COA[COA]),"")</f>
        <v>5102</v>
      </c>
      <c r="E20" s="9">
        <v>600000</v>
      </c>
      <c r="F20" s="9"/>
      <c r="I20" s="47"/>
      <c r="J20" s="49"/>
    </row>
    <row r="21" spans="2:12">
      <c r="B21" s="53">
        <v>46041</v>
      </c>
      <c r="C21" s="39" t="s">
        <v>428</v>
      </c>
      <c r="D21" s="150">
        <f>IFERROR(_xlfn.XLOOKUP(Transaksi2026[[#This Row],[Keterangan]],COA[Nama Akun],COA[COA]),"")</f>
        <v>2102</v>
      </c>
      <c r="E21" s="9"/>
      <c r="F21" s="9">
        <v>60000</v>
      </c>
    </row>
    <row r="22" spans="2:12">
      <c r="B22" s="53">
        <v>46041</v>
      </c>
      <c r="C22" s="39" t="s">
        <v>429</v>
      </c>
      <c r="D22" s="150">
        <f>IFERROR(_xlfn.XLOOKUP(Transaksi2026[[#This Row],[Keterangan]],COA[Nama Akun],COA[COA]),"")</f>
        <v>2103</v>
      </c>
      <c r="E22" s="9"/>
      <c r="F22" s="9">
        <v>540000</v>
      </c>
    </row>
    <row r="23" spans="2:12">
      <c r="B23" s="53">
        <v>46047</v>
      </c>
      <c r="C23" s="39" t="s">
        <v>196</v>
      </c>
      <c r="D23" s="150">
        <f>IFERROR(_xlfn.XLOOKUP(Transaksi2026[[#This Row],[Keterangan]],COA[Nama Akun],COA[COA]),"")</f>
        <v>2103</v>
      </c>
      <c r="E23" s="9">
        <v>540000</v>
      </c>
      <c r="F23" s="9"/>
      <c r="G23"/>
      <c r="H23"/>
      <c r="I23"/>
      <c r="J23"/>
      <c r="K23"/>
      <c r="L23"/>
    </row>
    <row r="24" spans="2:12">
      <c r="B24" s="53">
        <v>46047</v>
      </c>
      <c r="C24" s="39" t="s">
        <v>398</v>
      </c>
      <c r="D24" s="150">
        <f>IFERROR(_xlfn.XLOOKUP(Transaksi2026[[#This Row],[Keterangan]],COA[Nama Akun],COA[COA]),"")</f>
        <v>1101</v>
      </c>
      <c r="E24" s="9"/>
      <c r="F24" s="9">
        <v>540000</v>
      </c>
      <c r="G24"/>
      <c r="H24"/>
      <c r="I24"/>
      <c r="J24"/>
      <c r="K24"/>
      <c r="L24"/>
    </row>
    <row r="25" spans="2:12">
      <c r="B25" s="53">
        <v>46047</v>
      </c>
      <c r="C25" s="39" t="s">
        <v>417</v>
      </c>
      <c r="D25" s="150">
        <f>IFERROR(_xlfn.XLOOKUP(Transaksi2026[[#This Row],[Keterangan]],COA[Nama Akun],COA[COA]),"")</f>
        <v>5104</v>
      </c>
      <c r="E25" s="9">
        <v>110000</v>
      </c>
      <c r="F25" s="9"/>
      <c r="G25"/>
      <c r="H25"/>
      <c r="I25"/>
      <c r="J25"/>
      <c r="K25"/>
      <c r="L25"/>
    </row>
    <row r="26" spans="2:12">
      <c r="B26" s="53">
        <v>46047</v>
      </c>
      <c r="C26" s="39" t="s">
        <v>398</v>
      </c>
      <c r="D26" s="150">
        <f>IFERROR(_xlfn.XLOOKUP(Transaksi2026[[#This Row],[Keterangan]],COA[Nama Akun],COA[COA]),"")</f>
        <v>1101</v>
      </c>
      <c r="E26" s="9"/>
      <c r="F26" s="9">
        <v>110000</v>
      </c>
      <c r="G26"/>
      <c r="H26"/>
      <c r="I26"/>
      <c r="J26"/>
      <c r="K26"/>
      <c r="L26"/>
    </row>
    <row r="27" spans="2:12">
      <c r="B27" s="53">
        <v>46048</v>
      </c>
      <c r="C27" s="39" t="s">
        <v>183</v>
      </c>
      <c r="D27" s="150">
        <f>IFERROR(_xlfn.XLOOKUP(Transaksi2026[[#This Row],[Keterangan]],COA[Nama Akun],COA[COA]),"")</f>
        <v>1103</v>
      </c>
      <c r="E27" s="152">
        <f>Measurements!AS75+Measurements!AS78+Measurements!AS81+Measurements!AS84+Measurements!AS87+Measurements!AS90+Measurements!AS93</f>
        <v>7686750</v>
      </c>
      <c r="F27" s="9"/>
      <c r="G27"/>
      <c r="H27"/>
      <c r="I27"/>
      <c r="J27"/>
      <c r="K27"/>
      <c r="L27"/>
    </row>
    <row r="28" spans="2:12">
      <c r="B28" s="53">
        <v>46048</v>
      </c>
      <c r="C28" s="39" t="s">
        <v>149</v>
      </c>
      <c r="D28" s="150">
        <f>IFERROR(_xlfn.XLOOKUP(Transaksi2026[[#This Row],[Keterangan]],COA[Nama Akun],COA[COA]),"")</f>
        <v>4101</v>
      </c>
      <c r="E28" s="9"/>
      <c r="F28" s="9">
        <f>Measurements!AQ75+Measurements!AQ78+Measurements!AQ81+Measurements!AQ84+Measurements!AQ87+Measurements!AQ90+Measurements!AQ93</f>
        <v>6925000</v>
      </c>
      <c r="G28"/>
      <c r="H28"/>
      <c r="I28"/>
      <c r="J28"/>
      <c r="K28"/>
      <c r="L28"/>
    </row>
    <row r="29" spans="2:12">
      <c r="B29" s="53">
        <v>46048</v>
      </c>
      <c r="C29" s="39" t="s">
        <v>151</v>
      </c>
      <c r="D29" s="150">
        <f>IFERROR(_xlfn.XLOOKUP(Transaksi2026[[#This Row],[Keterangan]],COA[Nama Akun],COA[COA]),"")</f>
        <v>2106</v>
      </c>
      <c r="E29" s="9"/>
      <c r="F29" s="9">
        <f>Measurements!AR75+Measurements!AR78+Measurements!AR81+Measurements!AR84+Measurements!AR87+Measurements!AR90+Measurements!AR93</f>
        <v>761750</v>
      </c>
      <c r="G29"/>
      <c r="H29"/>
      <c r="I29"/>
      <c r="J29"/>
      <c r="K29"/>
      <c r="L29"/>
    </row>
    <row r="30" spans="2:12">
      <c r="B30" s="53">
        <v>46048</v>
      </c>
      <c r="C30" s="39" t="s">
        <v>146</v>
      </c>
      <c r="D30" s="150">
        <f>IFERROR(_xlfn.XLOOKUP(Transaksi2026[[#This Row],[Keterangan]],COA[Nama Akun],COA[COA]),"")</f>
        <v>4103</v>
      </c>
      <c r="E30" s="9">
        <f>Measurements!AT75+Measurements!AT78+Measurements!AT81+Measurements!AT84+Measurements!AT87+Measurements!AT90+Measurements!AT93</f>
        <v>126750</v>
      </c>
      <c r="F30" s="9"/>
      <c r="G30"/>
      <c r="H30"/>
      <c r="I30"/>
      <c r="J30"/>
      <c r="K30"/>
      <c r="L30"/>
    </row>
    <row r="31" spans="2:12">
      <c r="B31" s="53">
        <v>46048</v>
      </c>
      <c r="C31" s="39" t="s">
        <v>425</v>
      </c>
      <c r="D31" s="150">
        <f>IFERROR(_xlfn.XLOOKUP(Transaksi2026[[#This Row],[Keterangan]],COA[Nama Akun],COA[COA]),"")</f>
        <v>1103</v>
      </c>
      <c r="E31" s="9"/>
      <c r="F31" s="9">
        <f>E30</f>
        <v>126750</v>
      </c>
      <c r="G31"/>
      <c r="H31"/>
      <c r="I31"/>
      <c r="J31"/>
      <c r="K31"/>
      <c r="L31"/>
    </row>
    <row r="32" spans="2:12">
      <c r="B32" s="53">
        <v>46048</v>
      </c>
      <c r="C32" s="39" t="s">
        <v>125</v>
      </c>
      <c r="D32" s="150">
        <f>IFERROR(_xlfn.XLOOKUP(Transaksi2026[[#This Row],[Keterangan]],COA[Nama Akun],COA[COA]),"")</f>
        <v>5109</v>
      </c>
      <c r="E32" s="9">
        <f>F33</f>
        <v>4230000</v>
      </c>
      <c r="F32" s="9"/>
      <c r="G32"/>
      <c r="H32"/>
      <c r="I32"/>
      <c r="J32"/>
      <c r="K32"/>
      <c r="L32"/>
    </row>
    <row r="33" spans="2:12">
      <c r="B33" s="53">
        <v>46048</v>
      </c>
      <c r="C33" s="39" t="s">
        <v>424</v>
      </c>
      <c r="D33" s="150">
        <f>IFERROR(_xlfn.XLOOKUP(Transaksi2026[[#This Row],[Keterangan]],COA[Nama Akun],COA[COA]),"")</f>
        <v>1104</v>
      </c>
      <c r="E33" s="9"/>
      <c r="F33" s="9">
        <f>SUM(Measurements!L30:L34)</f>
        <v>4230000</v>
      </c>
      <c r="G33"/>
      <c r="H33"/>
      <c r="I33"/>
      <c r="J33"/>
      <c r="K33"/>
      <c r="L33"/>
    </row>
    <row r="34" spans="2:12">
      <c r="B34" s="53">
        <v>46049</v>
      </c>
      <c r="C34" s="39" t="s">
        <v>419</v>
      </c>
      <c r="D34" s="150">
        <f>IFERROR(_xlfn.XLOOKUP(Transaksi2026[[#This Row],[Keterangan]],COA[Nama Akun],COA[COA]),"")</f>
        <v>5106</v>
      </c>
      <c r="E34" s="9">
        <f>74*10</f>
        <v>740</v>
      </c>
      <c r="F34" s="9"/>
      <c r="G34"/>
      <c r="H34"/>
      <c r="I34"/>
      <c r="J34"/>
      <c r="K34"/>
      <c r="L34"/>
    </row>
    <row r="35" spans="2:12">
      <c r="B35" s="53">
        <v>46049</v>
      </c>
      <c r="C35" s="39" t="s">
        <v>427</v>
      </c>
      <c r="D35" s="150">
        <f>IFERROR(_xlfn.XLOOKUP(Transaksi2026[[#This Row],[Keterangan]],COA[Nama Akun],COA[COA]),"")</f>
        <v>2101</v>
      </c>
      <c r="E35" s="9"/>
      <c r="F35" s="9">
        <f>74*10</f>
        <v>740</v>
      </c>
      <c r="G35"/>
      <c r="H35"/>
      <c r="I35"/>
      <c r="J35"/>
      <c r="K35"/>
      <c r="L35"/>
    </row>
    <row r="36" spans="2:12">
      <c r="B36" s="53">
        <v>46053</v>
      </c>
      <c r="C36" s="39" t="s">
        <v>195</v>
      </c>
      <c r="D36" s="150">
        <f>IFERROR(_xlfn.XLOOKUP(Transaksi2026[[#This Row],[Keterangan]],COA[Nama Akun],COA[COA]),"")</f>
        <v>2101</v>
      </c>
      <c r="E36" s="9">
        <f>E34*0.4</f>
        <v>296</v>
      </c>
      <c r="F36" s="9"/>
      <c r="G36"/>
      <c r="H36"/>
      <c r="I36"/>
      <c r="J36"/>
      <c r="K36"/>
      <c r="L36"/>
    </row>
    <row r="37" spans="2:12">
      <c r="B37" s="53">
        <v>46053</v>
      </c>
      <c r="C37" s="39" t="s">
        <v>393</v>
      </c>
      <c r="D37" s="150">
        <f>IFERROR(_xlfn.XLOOKUP(Transaksi2026[[#This Row],[Keterangan]],COA[Nama Akun],COA[COA]),"")</f>
        <v>4103</v>
      </c>
      <c r="E37" s="9"/>
      <c r="F37" s="9">
        <f>E34*0.4</f>
        <v>296</v>
      </c>
      <c r="G37"/>
      <c r="H37"/>
      <c r="I37"/>
      <c r="J37"/>
      <c r="K37"/>
      <c r="L37"/>
    </row>
    <row r="38" spans="2:12">
      <c r="B38" s="53">
        <v>46056</v>
      </c>
      <c r="C38" s="39" t="s">
        <v>395</v>
      </c>
      <c r="D38" s="150">
        <f>IFERROR(_xlfn.XLOOKUP(Transaksi2026[[#This Row],[Keterangan]],COA[Nama Akun],COA[COA]),"")</f>
        <v>5110</v>
      </c>
      <c r="E38" s="9">
        <f>Utang!E22</f>
        <v>167021.10661002589</v>
      </c>
      <c r="F38" s="9"/>
      <c r="G38"/>
      <c r="H38"/>
      <c r="I38"/>
      <c r="J38"/>
      <c r="K38"/>
      <c r="L38"/>
    </row>
    <row r="39" spans="2:12">
      <c r="B39" s="53">
        <v>46056</v>
      </c>
      <c r="C39" s="39" t="s">
        <v>364</v>
      </c>
      <c r="D39" s="150">
        <f>IFERROR(_xlfn.XLOOKUP(Transaksi2026[[#This Row],[Keterangan]],COA[Nama Akun],COA[COA]),"")</f>
        <v>2106</v>
      </c>
      <c r="E39" s="9">
        <f>Utang!F22</f>
        <v>16311.89338997411</v>
      </c>
      <c r="F39" s="9"/>
      <c r="G39"/>
      <c r="H39"/>
      <c r="I39"/>
      <c r="J39"/>
      <c r="K39"/>
      <c r="L39"/>
    </row>
    <row r="40" spans="2:12">
      <c r="B40" s="53">
        <v>46056</v>
      </c>
      <c r="C40" s="39" t="s">
        <v>398</v>
      </c>
      <c r="D40" s="150">
        <f>IFERROR(_xlfn.XLOOKUP(Transaksi2026[[#This Row],[Keterangan]],COA[Nama Akun],COA[COA]),"")</f>
        <v>1101</v>
      </c>
      <c r="E40" s="9"/>
      <c r="F40" s="9">
        <f>Utang!D22</f>
        <v>183333</v>
      </c>
      <c r="G40"/>
      <c r="H40"/>
      <c r="I40"/>
      <c r="J40"/>
      <c r="K40"/>
      <c r="L40"/>
    </row>
    <row r="41" spans="2:12">
      <c r="B41" s="53">
        <v>46056</v>
      </c>
      <c r="C41" s="39" t="s">
        <v>395</v>
      </c>
      <c r="D41" s="150">
        <f>IFERROR(_xlfn.XLOOKUP(Transaksi2026[[#This Row],[Keterangan]],COA[Nama Akun],COA[COA]),"")</f>
        <v>5110</v>
      </c>
      <c r="E41" s="9">
        <f>Utang!O22</f>
        <v>116071.54906425596</v>
      </c>
      <c r="F41" s="9"/>
      <c r="G41"/>
      <c r="H41"/>
      <c r="I41"/>
      <c r="J41"/>
      <c r="K41"/>
      <c r="L41"/>
    </row>
    <row r="42" spans="2:12">
      <c r="B42" s="53">
        <v>46056</v>
      </c>
      <c r="C42" s="39" t="s">
        <v>367</v>
      </c>
      <c r="D42" s="150">
        <f>IFERROR(_xlfn.XLOOKUP(Transaksi2026[[#This Row],[Keterangan]],COA[Nama Akun],COA[COA]),"")</f>
        <v>2108</v>
      </c>
      <c r="E42" s="9">
        <f>Utang!N22</f>
        <v>50000</v>
      </c>
      <c r="F42" s="9"/>
      <c r="G42"/>
      <c r="H42"/>
      <c r="I42"/>
      <c r="J42"/>
      <c r="K42"/>
      <c r="L42"/>
    </row>
    <row r="43" spans="2:12">
      <c r="B43" s="53">
        <v>46056</v>
      </c>
      <c r="C43" s="39" t="s">
        <v>400</v>
      </c>
      <c r="D43" s="150">
        <f>IFERROR(_xlfn.XLOOKUP(Transaksi2026[[#This Row],[Keterangan]],COA[Nama Akun],COA[COA]),"")</f>
        <v>2104</v>
      </c>
      <c r="E43" s="9"/>
      <c r="F43" s="9">
        <f>Utang!M22</f>
        <v>166071.54906425596</v>
      </c>
      <c r="G43"/>
      <c r="H43"/>
      <c r="I43"/>
      <c r="J43"/>
      <c r="K43"/>
      <c r="L43"/>
    </row>
    <row r="44" spans="2:12">
      <c r="B44" s="53">
        <v>46057</v>
      </c>
      <c r="C44" s="39" t="s">
        <v>187</v>
      </c>
      <c r="D44" s="150">
        <f>IFERROR(_xlfn.XLOOKUP(Transaksi2026[[#This Row],[Keterangan]],COA[Nama Akun],COA[COA]),"")</f>
        <v>1101</v>
      </c>
      <c r="E44" s="9">
        <f>Utang!D87</f>
        <v>125000</v>
      </c>
      <c r="F44" s="9"/>
      <c r="G44"/>
      <c r="H44"/>
      <c r="I44"/>
      <c r="J44"/>
      <c r="K44"/>
      <c r="L44"/>
    </row>
    <row r="45" spans="2:12">
      <c r="B45" s="53">
        <v>46057</v>
      </c>
      <c r="C45" s="39" t="s">
        <v>500</v>
      </c>
      <c r="D45" s="150">
        <f>IFERROR(_xlfn.XLOOKUP(Transaksi2026[[#This Row],[Keterangan]],COA[Nama Akun],COA[COA]),"")</f>
        <v>1116</v>
      </c>
      <c r="E45" s="9">
        <f>Utang!F87</f>
        <v>14627.243383431109</v>
      </c>
      <c r="F45" s="9"/>
      <c r="G45"/>
      <c r="H45"/>
      <c r="I45"/>
      <c r="J45"/>
      <c r="K45"/>
      <c r="L45"/>
    </row>
    <row r="46" spans="2:12">
      <c r="B46" s="53">
        <v>46057</v>
      </c>
      <c r="C46" s="39" t="s">
        <v>462</v>
      </c>
      <c r="D46" s="150">
        <f>IFERROR(_xlfn.XLOOKUP(Transaksi2026[[#This Row],[Keterangan]],COA[Nama Akun],COA[COA]),"")</f>
        <v>4105</v>
      </c>
      <c r="E46" s="9"/>
      <c r="F46" s="9">
        <f>Utang!E87</f>
        <v>139627.24338343111</v>
      </c>
      <c r="G46"/>
      <c r="H46"/>
      <c r="I46"/>
      <c r="J46"/>
      <c r="K46"/>
      <c r="L46"/>
    </row>
    <row r="47" spans="2:12">
      <c r="B47" s="53">
        <v>46058</v>
      </c>
      <c r="C47" s="39" t="s">
        <v>184</v>
      </c>
      <c r="D47" s="150">
        <f>IFERROR(_xlfn.XLOOKUP(Transaksi2026[[#This Row],[Keterangan]],COA[Nama Akun],COA[COA]),"")</f>
        <v>1104</v>
      </c>
      <c r="E47" s="9">
        <f>SUM(Measurements!X36:X42)</f>
        <v>6239062.5</v>
      </c>
      <c r="F47" s="9"/>
      <c r="G47"/>
      <c r="H47"/>
      <c r="I47"/>
      <c r="J47"/>
      <c r="K47"/>
      <c r="L47"/>
    </row>
    <row r="48" spans="2:12">
      <c r="B48" s="53">
        <v>46058</v>
      </c>
      <c r="C48" s="39" t="s">
        <v>150</v>
      </c>
      <c r="D48" s="150">
        <f>IFERROR(_xlfn.XLOOKUP(Transaksi2026[[#This Row],[Keterangan]],COA[Nama Akun],COA[COA]),"")</f>
        <v>1114</v>
      </c>
      <c r="E48" s="9">
        <f>E47*11%</f>
        <v>686296.875</v>
      </c>
      <c r="F48" s="9"/>
      <c r="G48"/>
      <c r="H48"/>
      <c r="I48"/>
      <c r="J48"/>
      <c r="K48"/>
      <c r="L48"/>
    </row>
    <row r="49" spans="2:12">
      <c r="B49" s="53">
        <v>46058</v>
      </c>
      <c r="C49" s="39" t="s">
        <v>427</v>
      </c>
      <c r="D49" s="150">
        <f>IFERROR(_xlfn.XLOOKUP(Transaksi2026[[#This Row],[Keterangan]],COA[Nama Akun],COA[COA]),"")</f>
        <v>2101</v>
      </c>
      <c r="E49" s="9"/>
      <c r="F49" s="9">
        <f>SUM(E47:E48)</f>
        <v>6925359.375</v>
      </c>
      <c r="G49"/>
      <c r="H49"/>
      <c r="I49"/>
      <c r="J49"/>
      <c r="K49"/>
      <c r="L49"/>
    </row>
    <row r="50" spans="2:12">
      <c r="B50" s="53">
        <v>46068</v>
      </c>
      <c r="C50" s="39" t="s">
        <v>415</v>
      </c>
      <c r="D50" s="150">
        <f>IFERROR(_xlfn.XLOOKUP(Transaksi2026[[#This Row],[Keterangan]],COA[Nama Akun],COA[COA]),"")</f>
        <v>5102</v>
      </c>
      <c r="E50" s="9">
        <v>600000</v>
      </c>
      <c r="F50" s="9"/>
      <c r="G50"/>
      <c r="H50"/>
      <c r="I50"/>
      <c r="J50"/>
      <c r="K50"/>
      <c r="L50"/>
    </row>
    <row r="51" spans="2:12">
      <c r="B51" s="53">
        <v>46068</v>
      </c>
      <c r="C51" s="39" t="s">
        <v>428</v>
      </c>
      <c r="D51" s="150">
        <f>IFERROR(_xlfn.XLOOKUP(Transaksi2026[[#This Row],[Keterangan]],COA[Nama Akun],COA[COA]),"")</f>
        <v>2102</v>
      </c>
      <c r="E51" s="9"/>
      <c r="F51" s="9">
        <v>60000</v>
      </c>
      <c r="G51"/>
      <c r="H51"/>
      <c r="I51"/>
      <c r="J51"/>
      <c r="K51"/>
      <c r="L51"/>
    </row>
    <row r="52" spans="2:12">
      <c r="B52" s="53">
        <v>46068</v>
      </c>
      <c r="C52" s="39" t="s">
        <v>429</v>
      </c>
      <c r="D52" s="150">
        <f>IFERROR(_xlfn.XLOOKUP(Transaksi2026[[#This Row],[Keterangan]],COA[Nama Akun],COA[COA]),"")</f>
        <v>2103</v>
      </c>
      <c r="E52" s="9"/>
      <c r="F52" s="9">
        <v>540000</v>
      </c>
      <c r="G52"/>
      <c r="H52"/>
      <c r="I52"/>
      <c r="J52"/>
      <c r="K52"/>
      <c r="L52"/>
    </row>
    <row r="53" spans="2:12">
      <c r="B53" s="53">
        <v>46074</v>
      </c>
      <c r="C53" s="39" t="s">
        <v>196</v>
      </c>
      <c r="D53" s="150">
        <f>IFERROR(_xlfn.XLOOKUP(Transaksi2026[[#This Row],[Keterangan]],COA[Nama Akun],COA[COA]),"")</f>
        <v>2103</v>
      </c>
      <c r="E53" s="9">
        <v>540000</v>
      </c>
      <c r="F53" s="9"/>
      <c r="G53"/>
      <c r="H53"/>
      <c r="I53"/>
      <c r="J53"/>
      <c r="K53"/>
      <c r="L53"/>
    </row>
    <row r="54" spans="2:12">
      <c r="B54" s="53">
        <v>46074</v>
      </c>
      <c r="C54" s="39" t="s">
        <v>398</v>
      </c>
      <c r="D54" s="150">
        <f>IFERROR(_xlfn.XLOOKUP(Transaksi2026[[#This Row],[Keterangan]],COA[Nama Akun],COA[COA]),"")</f>
        <v>1101</v>
      </c>
      <c r="E54" s="9"/>
      <c r="F54" s="9">
        <v>540000</v>
      </c>
      <c r="G54"/>
      <c r="H54"/>
      <c r="I54"/>
      <c r="J54"/>
      <c r="K54"/>
      <c r="L54"/>
    </row>
    <row r="55" spans="2:12">
      <c r="B55" s="53">
        <v>46074</v>
      </c>
      <c r="C55" s="39" t="s">
        <v>417</v>
      </c>
      <c r="D55" s="150">
        <f>IFERROR(_xlfn.XLOOKUP(Transaksi2026[[#This Row],[Keterangan]],COA[Nama Akun],COA[COA]),"")</f>
        <v>5104</v>
      </c>
      <c r="E55" s="9">
        <v>110000</v>
      </c>
      <c r="F55" s="9"/>
      <c r="G55"/>
      <c r="H55"/>
      <c r="I55"/>
      <c r="J55"/>
      <c r="K55"/>
      <c r="L55"/>
    </row>
    <row r="56" spans="2:12">
      <c r="B56" s="53">
        <v>46074</v>
      </c>
      <c r="C56" s="39" t="s">
        <v>398</v>
      </c>
      <c r="D56" s="150">
        <f>IFERROR(_xlfn.XLOOKUP(Transaksi2026[[#This Row],[Keterangan]],COA[Nama Akun],COA[COA]),"")</f>
        <v>1101</v>
      </c>
      <c r="E56" s="9"/>
      <c r="F56" s="9">
        <v>110000</v>
      </c>
      <c r="G56"/>
      <c r="H56"/>
      <c r="I56"/>
      <c r="J56"/>
      <c r="K56"/>
      <c r="L56"/>
    </row>
    <row r="57" spans="2:12">
      <c r="B57" s="53">
        <v>46075</v>
      </c>
      <c r="C57" s="39" t="s">
        <v>183</v>
      </c>
      <c r="D57" s="150">
        <f>IFERROR(_xlfn.XLOOKUP(Transaksi2026[[#This Row],[Keterangan]],COA[Nama Akun],COA[COA]),"")</f>
        <v>1103</v>
      </c>
      <c r="E57" s="9">
        <f>Measurements!AS96+Measurements!AS99+Measurements!AS102+Measurements!AS105+Measurements!AS108+Measurements!AS111+Measurements!AS114</f>
        <v>13940490</v>
      </c>
      <c r="F57" s="9"/>
      <c r="G57" s="68"/>
    </row>
    <row r="58" spans="2:12">
      <c r="B58" s="53">
        <v>46075</v>
      </c>
      <c r="C58" s="39" t="s">
        <v>149</v>
      </c>
      <c r="D58" s="150">
        <f>IFERROR(_xlfn.XLOOKUP(Transaksi2026[[#This Row],[Keterangan]],COA[Nama Akun],COA[COA]),"")</f>
        <v>4101</v>
      </c>
      <c r="E58" s="9"/>
      <c r="F58" s="9">
        <f>Measurements!AQ96+Measurements!AQ99+Measurements!AQ102+Measurements!AQ105+Measurements!AQ108+Measurements!AQ111+Measurements!AQ114</f>
        <v>12559000</v>
      </c>
    </row>
    <row r="59" spans="2:12">
      <c r="B59" s="53">
        <v>46075</v>
      </c>
      <c r="C59" s="39" t="s">
        <v>151</v>
      </c>
      <c r="D59" s="150">
        <f>IFERROR(_xlfn.XLOOKUP(Transaksi2026[[#This Row],[Keterangan]],COA[Nama Akun],COA[COA]),"")</f>
        <v>2106</v>
      </c>
      <c r="E59" s="9"/>
      <c r="F59" s="9">
        <f>Measurements!AR96+Measurements!AR99+Measurements!AR102+Measurements!AR105+Measurements!AR108+Measurements!AR111+Measurements!AR114</f>
        <v>1381490</v>
      </c>
    </row>
    <row r="60" spans="2:12">
      <c r="B60" s="53">
        <v>46075</v>
      </c>
      <c r="C60" s="39" t="s">
        <v>146</v>
      </c>
      <c r="D60" s="150">
        <f>IFERROR(_xlfn.XLOOKUP(Transaksi2026[[#This Row],[Keterangan]],COA[Nama Akun],COA[COA]),"")</f>
        <v>4103</v>
      </c>
      <c r="E60" s="9">
        <f>Measurements!AT96+Measurements!AT99+Measurements!AT102+Measurements!AT105+Measurements!AT108+Measurements!AT111+Measurements!AT114</f>
        <v>170490</v>
      </c>
      <c r="F60" s="9"/>
    </row>
    <row r="61" spans="2:12">
      <c r="B61" s="53">
        <v>46075</v>
      </c>
      <c r="C61" s="39" t="s">
        <v>425</v>
      </c>
      <c r="D61" s="150">
        <f>IFERROR(_xlfn.XLOOKUP(Transaksi2026[[#This Row],[Keterangan]],COA[Nama Akun],COA[COA]),"")</f>
        <v>1103</v>
      </c>
      <c r="E61" s="9"/>
      <c r="F61" s="9">
        <f>E60</f>
        <v>170490</v>
      </c>
    </row>
    <row r="62" spans="2:12">
      <c r="B62" s="53">
        <v>46075</v>
      </c>
      <c r="C62" s="39" t="s">
        <v>125</v>
      </c>
      <c r="D62" s="150">
        <f>IFERROR(_xlfn.XLOOKUP(Transaksi2026[[#This Row],[Keterangan]],COA[Nama Akun],COA[COA]),"")</f>
        <v>5109</v>
      </c>
      <c r="E62" s="9">
        <f>F63</f>
        <v>6239062.5</v>
      </c>
      <c r="F62" s="9"/>
    </row>
    <row r="63" spans="2:12">
      <c r="B63" s="53">
        <v>46075</v>
      </c>
      <c r="C63" s="39" t="s">
        <v>424</v>
      </c>
      <c r="D63" s="150">
        <f>IFERROR(_xlfn.XLOOKUP(Transaksi2026[[#This Row],[Keterangan]],COA[Nama Akun],COA[COA]),"")</f>
        <v>1104</v>
      </c>
      <c r="E63" s="9"/>
      <c r="F63" s="9">
        <f>SUM(Measurements!X36:X42)</f>
        <v>6239062.5</v>
      </c>
    </row>
    <row r="64" spans="2:12">
      <c r="B64" s="53">
        <v>46075</v>
      </c>
      <c r="C64" s="39" t="s">
        <v>419</v>
      </c>
      <c r="D64" s="150">
        <f>IFERROR(_xlfn.XLOOKUP(Transaksi2026[[#This Row],[Keterangan]],COA[Nama Akun],COA[COA]),"")</f>
        <v>5106</v>
      </c>
      <c r="E64" s="9">
        <f>74*10</f>
        <v>740</v>
      </c>
      <c r="F64" s="9"/>
    </row>
    <row r="65" spans="2:16">
      <c r="B65" s="53">
        <v>46075</v>
      </c>
      <c r="C65" s="39" t="s">
        <v>427</v>
      </c>
      <c r="D65" s="150">
        <f>IFERROR(_xlfn.XLOOKUP(Transaksi2026[[#This Row],[Keterangan]],COA[Nama Akun],COA[COA]),"")</f>
        <v>2101</v>
      </c>
      <c r="E65" s="9"/>
      <c r="F65" s="9">
        <f>74*10</f>
        <v>740</v>
      </c>
    </row>
    <row r="66" spans="2:16">
      <c r="B66" s="53">
        <v>46080</v>
      </c>
      <c r="C66" s="39" t="s">
        <v>195</v>
      </c>
      <c r="D66" s="150">
        <f>IFERROR(_xlfn.XLOOKUP(Transaksi2026[[#This Row],[Keterangan]],COA[Nama Akun],COA[COA]),"")</f>
        <v>2101</v>
      </c>
      <c r="E66" s="9">
        <f>E64*0.4</f>
        <v>296</v>
      </c>
      <c r="F66" s="9"/>
      <c r="M66" s="69"/>
    </row>
    <row r="67" spans="2:16">
      <c r="B67" s="53">
        <v>46080</v>
      </c>
      <c r="C67" s="39" t="s">
        <v>393</v>
      </c>
      <c r="D67" s="150">
        <f>IFERROR(_xlfn.XLOOKUP(Transaksi2026[[#This Row],[Keterangan]],COA[Nama Akun],COA[COA]),"")</f>
        <v>4103</v>
      </c>
      <c r="E67" s="9"/>
      <c r="F67" s="9">
        <f>E64*0.4</f>
        <v>296</v>
      </c>
      <c r="M67" s="47"/>
      <c r="N67" s="49"/>
      <c r="P67" s="49"/>
    </row>
    <row r="68" spans="2:16">
      <c r="B68" s="53">
        <v>46080</v>
      </c>
      <c r="C68" s="39" t="s">
        <v>283</v>
      </c>
      <c r="D68" s="150">
        <f>IFERROR(_xlfn.XLOOKUP(Transaksi2026[[#This Row],[Keterangan]],COA[Nama Akun],COA[COA]),"")</f>
        <v>4102</v>
      </c>
      <c r="E68" s="9">
        <f>(Measurements!AS96+Measurements!AS99+Measurements!AS102+Measurements!AS105)</f>
        <v>8256180</v>
      </c>
      <c r="F68" s="9"/>
      <c r="G68" s="47"/>
      <c r="H68" s="47"/>
      <c r="I68" s="47"/>
      <c r="J68" s="47"/>
      <c r="K68" s="47"/>
      <c r="L68" s="47"/>
      <c r="M68" s="47"/>
      <c r="N68" s="49"/>
      <c r="P68" s="49"/>
    </row>
    <row r="69" spans="2:16">
      <c r="B69" s="53">
        <v>46080</v>
      </c>
      <c r="C69" s="39" t="s">
        <v>425</v>
      </c>
      <c r="D69" s="150">
        <f>IFERROR(_xlfn.XLOOKUP(Transaksi2026[[#This Row],[Keterangan]],COA[Nama Akun],COA[COA]),"")</f>
        <v>1103</v>
      </c>
      <c r="E69" s="9"/>
      <c r="F69" s="9">
        <f>(Measurements!AQ96+Measurements!AQ99+Measurements!AQ102+Measurements!AQ105)</f>
        <v>7438000</v>
      </c>
      <c r="G69" s="47"/>
      <c r="H69" s="47"/>
      <c r="I69" s="47"/>
      <c r="J69" s="47"/>
      <c r="K69" s="47"/>
      <c r="L69" s="47"/>
      <c r="M69" s="47"/>
      <c r="N69" s="49"/>
      <c r="P69" s="49"/>
    </row>
    <row r="70" spans="2:16">
      <c r="B70" s="53">
        <v>46080</v>
      </c>
      <c r="C70" s="39" t="s">
        <v>147</v>
      </c>
      <c r="D70" s="150">
        <f>IFERROR(_xlfn.XLOOKUP(Transaksi2026[[#This Row],[Keterangan]],COA[Nama Akun],COA[COA]),"")</f>
        <v>4103</v>
      </c>
      <c r="E70" s="9"/>
      <c r="F70" s="9">
        <f>E68-F69</f>
        <v>818180</v>
      </c>
      <c r="G70" s="47"/>
      <c r="H70" s="47"/>
      <c r="I70" s="47"/>
      <c r="J70" s="47"/>
      <c r="K70" s="47"/>
      <c r="L70" s="47"/>
      <c r="M70" s="47"/>
      <c r="N70" s="49"/>
      <c r="P70" s="49"/>
    </row>
    <row r="71" spans="2:16">
      <c r="B71" s="53">
        <v>46080</v>
      </c>
      <c r="C71" s="39" t="s">
        <v>183</v>
      </c>
      <c r="D71" s="150">
        <f>IFERROR(_xlfn.XLOOKUP(Transaksi2026[[#This Row],[Keterangan]],COA[Nama Akun],COA[COA]),"")</f>
        <v>1103</v>
      </c>
      <c r="E71" s="9">
        <f>F72</f>
        <v>6604944</v>
      </c>
      <c r="F71" s="9"/>
      <c r="G71" s="47"/>
      <c r="H71" s="47"/>
      <c r="I71" s="47"/>
      <c r="J71" s="47"/>
      <c r="K71" s="47"/>
      <c r="L71" s="47"/>
      <c r="M71" s="47"/>
      <c r="N71" s="49"/>
    </row>
    <row r="72" spans="2:16">
      <c r="B72" s="53">
        <v>46080</v>
      </c>
      <c r="C72" s="39" t="s">
        <v>149</v>
      </c>
      <c r="D72" s="150">
        <f>IFERROR(_xlfn.XLOOKUP(Transaksi2026[[#This Row],[Keterangan]],COA[Nama Akun],COA[COA]),"")</f>
        <v>4101</v>
      </c>
      <c r="E72" s="9"/>
      <c r="F72" s="9">
        <f>80%*(Measurements!AS96+Measurements!AS99+Measurements!AS102+Measurements!AS105)</f>
        <v>6604944</v>
      </c>
      <c r="L72" s="49"/>
    </row>
    <row r="73" spans="2:16">
      <c r="B73" s="53">
        <v>46081</v>
      </c>
      <c r="C73" s="39" t="s">
        <v>313</v>
      </c>
      <c r="D73" s="150">
        <f>IFERROR(_xlfn.XLOOKUP(Transaksi2026[[#This Row],[Keterangan]],COA[Nama Akun],COA[COA]),"")</f>
        <v>3102</v>
      </c>
      <c r="E73" s="9">
        <f>'Neraca Saldo'!R27</f>
        <v>38339090.518256053</v>
      </c>
      <c r="F73" s="9"/>
    </row>
    <row r="74" spans="2:16">
      <c r="B74" s="53">
        <v>46081</v>
      </c>
      <c r="C74" s="39" t="s">
        <v>516</v>
      </c>
      <c r="D74" s="150">
        <f>IFERROR(_xlfn.XLOOKUP(Transaksi2026[[#This Row],[Keterangan]],COA[Nama Akun],COA[COA]),"")</f>
        <v>3102</v>
      </c>
      <c r="E74" s="9"/>
      <c r="F74" s="9">
        <f>'Neraca Saldo'!R27</f>
        <v>38339090.518256053</v>
      </c>
    </row>
    <row r="75" spans="2:16">
      <c r="B75" s="53">
        <v>46081</v>
      </c>
      <c r="C75" s="39" t="s">
        <v>404</v>
      </c>
      <c r="D75" s="150">
        <f>IFERROR(_xlfn.XLOOKUP(Transaksi2026[[#This Row],[Keterangan]],COA[Nama Akun],COA[COA]),"")</f>
        <v>1111</v>
      </c>
      <c r="E75" s="9">
        <f>50%*'Neraca Saldo'!R27</f>
        <v>19169545.259128027</v>
      </c>
      <c r="F75" s="9"/>
    </row>
    <row r="76" spans="2:16">
      <c r="B76" s="53">
        <v>46081</v>
      </c>
      <c r="C76" s="39" t="s">
        <v>393</v>
      </c>
      <c r="D76" s="150">
        <f>IFERROR(_xlfn.XLOOKUP(Transaksi2026[[#This Row],[Keterangan]],COA[Nama Akun],COA[COA]),"")</f>
        <v>4103</v>
      </c>
      <c r="E76" s="9"/>
      <c r="F76" s="9">
        <f>E75</f>
        <v>19169545.259128027</v>
      </c>
    </row>
    <row r="77" spans="2:16">
      <c r="B77" s="53">
        <v>46081</v>
      </c>
      <c r="C77" s="39" t="s">
        <v>187</v>
      </c>
      <c r="D77" s="150">
        <f>IFERROR(_xlfn.XLOOKUP(Transaksi2026[[#This Row],[Keterangan]],COA[Nama Akun],COA[COA]),"")</f>
        <v>1101</v>
      </c>
      <c r="E77" s="9">
        <f>160*50000</f>
        <v>8000000</v>
      </c>
      <c r="F77" s="9"/>
    </row>
    <row r="78" spans="2:16">
      <c r="B78" s="53">
        <v>46081</v>
      </c>
      <c r="C78" s="39" t="s">
        <v>516</v>
      </c>
      <c r="D78" s="150">
        <f>IFERROR(_xlfn.XLOOKUP(Transaksi2026[[#This Row],[Keterangan]],COA[Nama Akun],COA[COA]),"")</f>
        <v>3102</v>
      </c>
      <c r="E78" s="9"/>
      <c r="F78" s="9">
        <f>100*50000</f>
        <v>5000000</v>
      </c>
    </row>
    <row r="79" spans="2:16">
      <c r="B79" s="53">
        <v>46081</v>
      </c>
      <c r="C79" s="39" t="s">
        <v>408</v>
      </c>
      <c r="D79" s="150">
        <f>IFERROR(_xlfn.XLOOKUP(Transaksi2026[[#This Row],[Keterangan]],COA[Nama Akun],COA[COA]),"")</f>
        <v>3104</v>
      </c>
      <c r="E79" s="9"/>
      <c r="F79" s="9">
        <f>E77-F78</f>
        <v>3000000</v>
      </c>
    </row>
    <row r="80" spans="2:16">
      <c r="B80" s="53">
        <v>46081</v>
      </c>
      <c r="C80" s="39" t="s">
        <v>407</v>
      </c>
      <c r="D80" s="150">
        <f>IFERROR(_xlfn.XLOOKUP(Transaksi2026[[#This Row],[Keterangan]],COA[Nama Akun],COA[COA]),"")</f>
        <v>3104</v>
      </c>
      <c r="E80" s="9">
        <v>5000</v>
      </c>
      <c r="F80" s="9"/>
    </row>
    <row r="81" spans="2:7">
      <c r="B81" s="53">
        <v>46081</v>
      </c>
      <c r="C81" s="39" t="s">
        <v>398</v>
      </c>
      <c r="D81" s="150">
        <f>IFERROR(_xlfn.XLOOKUP(Transaksi2026[[#This Row],[Keterangan]],COA[Nama Akun],COA[COA]),"")</f>
        <v>1101</v>
      </c>
      <c r="E81" s="9"/>
      <c r="F81" s="9">
        <v>5000</v>
      </c>
    </row>
    <row r="82" spans="2:7">
      <c r="B82" s="53">
        <v>46084</v>
      </c>
      <c r="C82" s="39" t="s">
        <v>410</v>
      </c>
      <c r="D82" s="150">
        <f>IFERROR(_xlfn.XLOOKUP(Transaksi2026[[#This Row],[Keterangan]],COA[Nama Akun],COA[COA]),"")</f>
        <v>1112</v>
      </c>
      <c r="E82" s="9">
        <v>35000</v>
      </c>
      <c r="F82" s="9"/>
    </row>
    <row r="83" spans="2:7">
      <c r="B83" s="53">
        <v>46084</v>
      </c>
      <c r="C83" s="39" t="s">
        <v>407</v>
      </c>
      <c r="D83" s="150">
        <f>IFERROR(_xlfn.XLOOKUP(Transaksi2026[[#This Row],[Keterangan]],COA[Nama Akun],COA[COA]),"")</f>
        <v>3104</v>
      </c>
      <c r="E83" s="9">
        <f>F84-E82</f>
        <v>2965000</v>
      </c>
      <c r="F83" s="9"/>
    </row>
    <row r="84" spans="2:7">
      <c r="B84" s="53">
        <v>46084</v>
      </c>
      <c r="C84" s="39" t="s">
        <v>516</v>
      </c>
      <c r="D84" s="150">
        <f>IFERROR(_xlfn.XLOOKUP(Transaksi2026[[#This Row],[Keterangan]],COA[Nama Akun],COA[COA]),"")</f>
        <v>3102</v>
      </c>
      <c r="E84" s="9"/>
      <c r="F84" s="9">
        <f>100*30000</f>
        <v>3000000</v>
      </c>
      <c r="G84" s="47"/>
    </row>
    <row r="85" spans="2:7">
      <c r="B85" s="53">
        <v>46084</v>
      </c>
      <c r="C85" s="39" t="s">
        <v>395</v>
      </c>
      <c r="D85" s="150">
        <f>IFERROR(_xlfn.XLOOKUP(Transaksi2026[[#This Row],[Keterangan]],COA[Nama Akun],COA[COA]),"")</f>
        <v>5110</v>
      </c>
      <c r="E85" s="9">
        <f>Utang!E23</f>
        <v>166776.42820917629</v>
      </c>
      <c r="F85" s="9"/>
      <c r="G85" s="47"/>
    </row>
    <row r="86" spans="2:7">
      <c r="B86" s="53">
        <v>46084</v>
      </c>
      <c r="C86" s="39" t="s">
        <v>364</v>
      </c>
      <c r="D86" s="150">
        <f>IFERROR(_xlfn.XLOOKUP(Transaksi2026[[#This Row],[Keterangan]],COA[Nama Akun],COA[COA]),"")</f>
        <v>2106</v>
      </c>
      <c r="E86" s="9">
        <f>Utang!F23</f>
        <v>16556.571790823713</v>
      </c>
      <c r="F86" s="9"/>
    </row>
    <row r="87" spans="2:7">
      <c r="B87" s="53">
        <v>46084</v>
      </c>
      <c r="C87" s="39" t="s">
        <v>398</v>
      </c>
      <c r="D87" s="150">
        <f>IFERROR(_xlfn.XLOOKUP(Transaksi2026[[#This Row],[Keterangan]],COA[Nama Akun],COA[COA]),"")</f>
        <v>1101</v>
      </c>
      <c r="E87" s="9"/>
      <c r="F87" s="9">
        <f>Utang!D23</f>
        <v>183333</v>
      </c>
    </row>
    <row r="88" spans="2:7">
      <c r="B88" s="53">
        <v>46084</v>
      </c>
      <c r="C88" s="39" t="s">
        <v>187</v>
      </c>
      <c r="D88" s="150">
        <f>IFERROR(_xlfn.XLOOKUP(Transaksi2026[[#This Row],[Keterangan]],COA[Nama Akun],COA[COA]),"")</f>
        <v>1101</v>
      </c>
      <c r="E88" s="9">
        <f>Utang!D88</f>
        <v>125000</v>
      </c>
      <c r="F88" s="9"/>
    </row>
    <row r="89" spans="2:7">
      <c r="B89" s="53">
        <v>46084</v>
      </c>
      <c r="C89" s="39" t="s">
        <v>500</v>
      </c>
      <c r="D89" s="150">
        <f>IFERROR(_xlfn.XLOOKUP(Transaksi2026[[#This Row],[Keterangan]],COA[Nama Akun],COA[COA]),"")</f>
        <v>1116</v>
      </c>
      <c r="E89" s="9">
        <f>Utang!F88</f>
        <v>14846.652034182596</v>
      </c>
      <c r="F89" s="9"/>
    </row>
    <row r="90" spans="2:7">
      <c r="B90" s="53">
        <v>46084</v>
      </c>
      <c r="C90" s="39" t="s">
        <v>462</v>
      </c>
      <c r="D90" s="150">
        <f>IFERROR(_xlfn.XLOOKUP(Transaksi2026[[#This Row],[Keterangan]],COA[Nama Akun],COA[COA]),"")</f>
        <v>4105</v>
      </c>
      <c r="E90" s="9"/>
      <c r="F90" s="9">
        <f>Utang!E88</f>
        <v>139846.6520341826</v>
      </c>
    </row>
    <row r="91" spans="2:7">
      <c r="B91" s="53">
        <v>46084</v>
      </c>
      <c r="C91" s="39" t="s">
        <v>395</v>
      </c>
      <c r="D91" s="150">
        <f>IFERROR(_xlfn.XLOOKUP(Transaksi2026[[#This Row],[Keterangan]],COA[Nama Akun],COA[COA]),"")</f>
        <v>5110</v>
      </c>
      <c r="E91" s="9">
        <f>Utang!O52</f>
        <v>156446.91150726753</v>
      </c>
      <c r="F91" s="9"/>
    </row>
    <row r="92" spans="2:7">
      <c r="B92" s="53">
        <v>46084</v>
      </c>
      <c r="C92" s="39" t="s">
        <v>367</v>
      </c>
      <c r="D92" s="150">
        <f>IFERROR(_xlfn.XLOOKUP(Transaksi2026[[#This Row],[Keterangan]],COA[Nama Akun],COA[COA]),"")</f>
        <v>2108</v>
      </c>
      <c r="E92" s="9">
        <f>Utang!N52</f>
        <v>9624.6375569884258</v>
      </c>
      <c r="F92" s="9"/>
    </row>
    <row r="93" spans="2:7">
      <c r="B93" s="53">
        <v>46084</v>
      </c>
      <c r="C93" s="39" t="s">
        <v>400</v>
      </c>
      <c r="D93" s="150">
        <f>IFERROR(_xlfn.XLOOKUP(Transaksi2026[[#This Row],[Keterangan]],COA[Nama Akun],COA[COA]),"")</f>
        <v>2104</v>
      </c>
      <c r="E93" s="9"/>
      <c r="F93" s="9">
        <f>Utang!M52</f>
        <v>166071.54906425596</v>
      </c>
    </row>
    <row r="94" spans="2:7">
      <c r="B94" s="53">
        <v>46085</v>
      </c>
      <c r="C94" s="39" t="s">
        <v>184</v>
      </c>
      <c r="D94" s="150">
        <f>IFERROR(_xlfn.XLOOKUP(Transaksi2026[[#This Row],[Keterangan]],COA[Nama Akun],COA[COA]),"")</f>
        <v>1104</v>
      </c>
      <c r="E94" s="9">
        <f>SUM(Measurements!L40:L44)</f>
        <v>4675000</v>
      </c>
      <c r="F94" s="9"/>
    </row>
    <row r="95" spans="2:7">
      <c r="B95" s="53">
        <v>46085</v>
      </c>
      <c r="C95" s="39" t="s">
        <v>150</v>
      </c>
      <c r="D95" s="150">
        <f>IFERROR(_xlfn.XLOOKUP(Transaksi2026[[#This Row],[Keterangan]],COA[Nama Akun],COA[COA]),"")</f>
        <v>1114</v>
      </c>
      <c r="E95" s="9">
        <f>E94*11%</f>
        <v>514250</v>
      </c>
      <c r="F95" s="9"/>
    </row>
    <row r="96" spans="2:7">
      <c r="B96" s="53">
        <v>46085</v>
      </c>
      <c r="C96" s="39" t="s">
        <v>427</v>
      </c>
      <c r="D96" s="150">
        <f>IFERROR(_xlfn.XLOOKUP(Transaksi2026[[#This Row],[Keterangan]],COA[Nama Akun],COA[COA]),"")</f>
        <v>2101</v>
      </c>
      <c r="E96" s="9"/>
      <c r="F96" s="9">
        <f>SUM(E94:E95)</f>
        <v>5189250</v>
      </c>
    </row>
    <row r="97" spans="2:7">
      <c r="B97" s="53">
        <v>46087</v>
      </c>
      <c r="C97" s="39" t="s">
        <v>490</v>
      </c>
      <c r="D97" s="150">
        <f>IFERROR(_xlfn.XLOOKUP(Transaksi2026[[#This Row],[Keterangan]],COA[Nama Akun],COA[COA]),"")</f>
        <v>1115</v>
      </c>
      <c r="E97" s="9">
        <f>100*30000</f>
        <v>3000000</v>
      </c>
      <c r="F97" s="9"/>
      <c r="G97" s="49"/>
    </row>
    <row r="98" spans="2:7">
      <c r="B98" s="53">
        <v>46087</v>
      </c>
      <c r="C98" s="39" t="s">
        <v>411</v>
      </c>
      <c r="D98" s="150">
        <f>IFERROR(_xlfn.XLOOKUP(Transaksi2026[[#This Row],[Keterangan]],COA[Nama Akun],COA[COA]),"")</f>
        <v>1112</v>
      </c>
      <c r="E98" s="9"/>
      <c r="F98" s="9">
        <v>35000</v>
      </c>
    </row>
    <row r="99" spans="2:7">
      <c r="B99" s="53">
        <v>46087</v>
      </c>
      <c r="C99" s="39" t="s">
        <v>393</v>
      </c>
      <c r="D99" s="150">
        <f>IFERROR(_xlfn.XLOOKUP(Transaksi2026[[#This Row],[Keterangan]],COA[Nama Akun],COA[COA]),"")</f>
        <v>4103</v>
      </c>
      <c r="E99" s="9"/>
      <c r="F99" s="9">
        <f>E97-F98</f>
        <v>2965000</v>
      </c>
    </row>
    <row r="100" spans="2:7">
      <c r="B100" s="53">
        <v>46096</v>
      </c>
      <c r="C100" s="39" t="s">
        <v>415</v>
      </c>
      <c r="D100" s="150">
        <f>IFERROR(_xlfn.XLOOKUP(Transaksi2026[[#This Row],[Keterangan]],COA[Nama Akun],COA[COA]),"")</f>
        <v>5102</v>
      </c>
      <c r="E100" s="9">
        <v>600000</v>
      </c>
      <c r="F100" s="9"/>
    </row>
    <row r="101" spans="2:7">
      <c r="B101" s="53">
        <v>46096</v>
      </c>
      <c r="C101" s="39" t="s">
        <v>428</v>
      </c>
      <c r="D101" s="150">
        <f>IFERROR(_xlfn.XLOOKUP(Transaksi2026[[#This Row],[Keterangan]],COA[Nama Akun],COA[COA]),"")</f>
        <v>2102</v>
      </c>
      <c r="E101" s="9"/>
      <c r="F101" s="9">
        <v>60000</v>
      </c>
    </row>
    <row r="102" spans="2:7">
      <c r="B102" s="53">
        <v>46096</v>
      </c>
      <c r="C102" s="39" t="s">
        <v>429</v>
      </c>
      <c r="D102" s="150">
        <f>IFERROR(_xlfn.XLOOKUP(Transaksi2026[[#This Row],[Keterangan]],COA[Nama Akun],COA[COA]),"")</f>
        <v>2103</v>
      </c>
      <c r="E102" s="9"/>
      <c r="F102" s="9">
        <v>540000</v>
      </c>
    </row>
    <row r="103" spans="2:7">
      <c r="B103" s="53">
        <v>46097</v>
      </c>
      <c r="C103" s="39" t="s">
        <v>196</v>
      </c>
      <c r="D103" s="150">
        <f>IFERROR(_xlfn.XLOOKUP(Transaksi2026[[#This Row],[Keterangan]],COA[Nama Akun],COA[COA]),"")</f>
        <v>2103</v>
      </c>
      <c r="E103" s="9">
        <v>540000</v>
      </c>
      <c r="F103" s="9"/>
      <c r="G103" s="47"/>
    </row>
    <row r="104" spans="2:7">
      <c r="B104" s="53">
        <v>46097</v>
      </c>
      <c r="C104" s="39" t="s">
        <v>398</v>
      </c>
      <c r="D104" s="150">
        <f>IFERROR(_xlfn.XLOOKUP(Transaksi2026[[#This Row],[Keterangan]],COA[Nama Akun],COA[COA]),"")</f>
        <v>1101</v>
      </c>
      <c r="E104" s="9"/>
      <c r="F104" s="9">
        <v>540000</v>
      </c>
      <c r="G104" s="47"/>
    </row>
    <row r="105" spans="2:7">
      <c r="B105" s="53">
        <v>46097</v>
      </c>
      <c r="C105" s="39" t="s">
        <v>417</v>
      </c>
      <c r="D105" s="150">
        <f>IFERROR(_xlfn.XLOOKUP(Transaksi2026[[#This Row],[Keterangan]],COA[Nama Akun],COA[COA]),"")</f>
        <v>5104</v>
      </c>
      <c r="E105" s="9">
        <v>110000</v>
      </c>
      <c r="F105" s="9"/>
      <c r="G105" s="47"/>
    </row>
    <row r="106" spans="2:7">
      <c r="B106" s="53">
        <v>46097</v>
      </c>
      <c r="C106" s="39" t="s">
        <v>398</v>
      </c>
      <c r="D106" s="150">
        <f>IFERROR(_xlfn.XLOOKUP(Transaksi2026[[#This Row],[Keterangan]],COA[Nama Akun],COA[COA]),"")</f>
        <v>1101</v>
      </c>
      <c r="E106" s="9"/>
      <c r="F106" s="9">
        <v>110000</v>
      </c>
    </row>
    <row r="107" spans="2:7">
      <c r="B107" s="53">
        <v>46099</v>
      </c>
      <c r="C107" s="39" t="s">
        <v>490</v>
      </c>
      <c r="D107" s="150">
        <f>IFERROR(_xlfn.XLOOKUP(Transaksi2026[[#This Row],[Keterangan]],COA[Nama Akun],COA[COA]),"")</f>
        <v>1115</v>
      </c>
      <c r="E107" s="9">
        <f>100*160%*50000</f>
        <v>8000000</v>
      </c>
      <c r="F107" s="9"/>
    </row>
    <row r="108" spans="2:7">
      <c r="B108" s="53">
        <v>46099</v>
      </c>
      <c r="C108" s="39" t="s">
        <v>398</v>
      </c>
      <c r="D108" s="150">
        <f>IFERROR(_xlfn.XLOOKUP(Transaksi2026[[#This Row],[Keterangan]],COA[Nama Akun],COA[COA]),"")</f>
        <v>1101</v>
      </c>
      <c r="E108" s="9"/>
      <c r="F108" s="9">
        <f>E107</f>
        <v>8000000</v>
      </c>
    </row>
    <row r="109" spans="2:7">
      <c r="B109" s="53">
        <v>46103</v>
      </c>
      <c r="C109" s="39" t="s">
        <v>183</v>
      </c>
      <c r="D109" s="150">
        <f>IFERROR(_xlfn.XLOOKUP(Transaksi2026[[#This Row],[Keterangan]],COA[Nama Akun],COA[COA]),"")</f>
        <v>1103</v>
      </c>
      <c r="E109" s="9">
        <f>Measurements!AS117+Measurements!AS120+Measurements!AS123+Measurements!AS126+Measurements!AS129+Measurements!AS132+Measurements!AS135</f>
        <v>8993220</v>
      </c>
      <c r="F109" s="9"/>
    </row>
    <row r="110" spans="2:7">
      <c r="B110" s="53">
        <v>46103</v>
      </c>
      <c r="C110" s="39" t="s">
        <v>149</v>
      </c>
      <c r="D110" s="150">
        <f>IFERROR(_xlfn.XLOOKUP(Transaksi2026[[#This Row],[Keterangan]],COA[Nama Akun],COA[COA]),"")</f>
        <v>4101</v>
      </c>
      <c r="E110" s="9"/>
      <c r="F110" s="9">
        <f>Measurements!AQ117+Measurements!AQ120+Measurements!AQ123+Measurements!AQ126+Measurements!AQ129+Measurements!AQ132+Measurements!AQ135</f>
        <v>8102000</v>
      </c>
    </row>
    <row r="111" spans="2:7">
      <c r="B111" s="53">
        <v>46103</v>
      </c>
      <c r="C111" s="39" t="s">
        <v>151</v>
      </c>
      <c r="D111" s="150">
        <f>IFERROR(_xlfn.XLOOKUP(Transaksi2026[[#This Row],[Keterangan]],COA[Nama Akun],COA[COA]),"")</f>
        <v>2106</v>
      </c>
      <c r="E111" s="9"/>
      <c r="F111" s="9">
        <f>Measurements!AR117+Measurements!AR120+Measurements!AR123+Measurements!AR126+Measurements!AR129+Measurements!AR132+Measurements!AR135</f>
        <v>891220</v>
      </c>
    </row>
    <row r="112" spans="2:7">
      <c r="B112" s="53">
        <v>46103</v>
      </c>
      <c r="C112" s="39" t="s">
        <v>146</v>
      </c>
      <c r="D112" s="150">
        <f>IFERROR(_xlfn.XLOOKUP(Transaksi2026[[#This Row],[Keterangan]],COA[Nama Akun],COA[COA]),"")</f>
        <v>4103</v>
      </c>
      <c r="E112" s="9">
        <f>Measurements!AT117+Measurements!AT120+Measurements!AT123+Measurements!AT126+Measurements!AT129+Measurements!AT132+Measurements!AT135</f>
        <v>153220</v>
      </c>
      <c r="F112" s="9"/>
    </row>
    <row r="113" spans="2:7">
      <c r="B113" s="53">
        <v>46103</v>
      </c>
      <c r="C113" s="39" t="s">
        <v>425</v>
      </c>
      <c r="D113" s="150">
        <f>IFERROR(_xlfn.XLOOKUP(Transaksi2026[[#This Row],[Keterangan]],COA[Nama Akun],COA[COA]),"")</f>
        <v>1103</v>
      </c>
      <c r="E113" s="9"/>
      <c r="F113" s="9">
        <f>E112</f>
        <v>153220</v>
      </c>
    </row>
    <row r="114" spans="2:7">
      <c r="B114" s="53">
        <v>46103</v>
      </c>
      <c r="C114" s="39" t="s">
        <v>125</v>
      </c>
      <c r="D114" s="150">
        <f>IFERROR(_xlfn.XLOOKUP(Transaksi2026[[#This Row],[Keterangan]],COA[Nama Akun],COA[COA]),"")</f>
        <v>5109</v>
      </c>
      <c r="E114" s="9">
        <f>F115</f>
        <v>3740000</v>
      </c>
      <c r="F114" s="9"/>
    </row>
    <row r="115" spans="2:7">
      <c r="B115" s="53">
        <v>46103</v>
      </c>
      <c r="C115" s="39" t="s">
        <v>424</v>
      </c>
      <c r="D115" s="150">
        <f>IFERROR(_xlfn.XLOOKUP(Transaksi2026[[#This Row],[Keterangan]],COA[Nama Akun],COA[COA]),"")</f>
        <v>1104</v>
      </c>
      <c r="E115" s="9"/>
      <c r="F115" s="9">
        <f>SUM(Measurements!X43:X49)</f>
        <v>3740000</v>
      </c>
      <c r="G115" s="49"/>
    </row>
    <row r="116" spans="2:7">
      <c r="B116" s="53">
        <v>46103</v>
      </c>
      <c r="C116" s="39" t="s">
        <v>419</v>
      </c>
      <c r="D116" s="150">
        <f>IFERROR(_xlfn.XLOOKUP(Transaksi2026[[#This Row],[Keterangan]],COA[Nama Akun],COA[COA]),"")</f>
        <v>5106</v>
      </c>
      <c r="E116" s="9">
        <f>74*10</f>
        <v>740</v>
      </c>
      <c r="F116" s="9"/>
    </row>
    <row r="117" spans="2:7">
      <c r="B117" s="53">
        <v>46103</v>
      </c>
      <c r="C117" s="39" t="s">
        <v>478</v>
      </c>
      <c r="D117" s="150">
        <f>IFERROR(_xlfn.XLOOKUP(Transaksi2026[[#This Row],[Keterangan]],COA[Nama Akun],COA[COA]),"")</f>
        <v>2109</v>
      </c>
      <c r="E117" s="9"/>
      <c r="F117" s="9">
        <f>74*10</f>
        <v>740</v>
      </c>
    </row>
    <row r="118" spans="2:7">
      <c r="B118" s="53">
        <v>46103</v>
      </c>
      <c r="C118" s="39" t="s">
        <v>419</v>
      </c>
      <c r="D118" s="150">
        <f>IFERROR(_xlfn.XLOOKUP(Transaksi2026[[#This Row],[Keterangan]],COA[Nama Akun],COA[COA]),"")</f>
        <v>5106</v>
      </c>
      <c r="E118" s="9">
        <f>80%*E109</f>
        <v>7194576</v>
      </c>
      <c r="F118" s="9"/>
    </row>
    <row r="119" spans="2:7">
      <c r="B119" s="53">
        <v>46103</v>
      </c>
      <c r="C119" s="39" t="s">
        <v>478</v>
      </c>
      <c r="D119" s="150">
        <f>IFERROR(_xlfn.XLOOKUP(Transaksi2026[[#This Row],[Keterangan]],COA[Nama Akun],COA[COA]),"")</f>
        <v>2109</v>
      </c>
      <c r="E119" s="9"/>
      <c r="F119" s="9">
        <f>E118</f>
        <v>7194576</v>
      </c>
    </row>
    <row r="120" spans="2:7">
      <c r="B120" s="53">
        <v>46109</v>
      </c>
      <c r="C120" s="39" t="s">
        <v>477</v>
      </c>
      <c r="D120" s="150">
        <f>IFERROR(_xlfn.XLOOKUP(Transaksi2026[[#This Row],[Keterangan]],COA[Nama Akun],COA[COA]),"")</f>
        <v>2109</v>
      </c>
      <c r="E120" s="9">
        <f>E116*0.4</f>
        <v>296</v>
      </c>
      <c r="F120" s="9"/>
    </row>
    <row r="121" spans="2:7">
      <c r="B121" s="53">
        <v>46109</v>
      </c>
      <c r="C121" s="39" t="s">
        <v>393</v>
      </c>
      <c r="D121" s="150">
        <f>IFERROR(_xlfn.XLOOKUP(Transaksi2026[[#This Row],[Keterangan]],COA[Nama Akun],COA[COA]),"")</f>
        <v>4103</v>
      </c>
      <c r="E121" s="9"/>
      <c r="F121" s="9">
        <f>E116*0.4</f>
        <v>296</v>
      </c>
    </row>
    <row r="122" spans="2:7">
      <c r="B122" s="53">
        <v>46109</v>
      </c>
      <c r="C122" s="39" t="s">
        <v>283</v>
      </c>
      <c r="D122" s="150">
        <f>IFERROR(_xlfn.XLOOKUP(Transaksi2026[[#This Row],[Keterangan]],COA[Nama Akun],COA[COA]),"")</f>
        <v>4102</v>
      </c>
      <c r="E122" s="9">
        <f>Measurements!AQ117+Measurements!AQ120+Measurements!AQ123+Measurements!AQ126</f>
        <v>4848500</v>
      </c>
      <c r="F122" s="9"/>
      <c r="G122" s="47"/>
    </row>
    <row r="123" spans="2:7">
      <c r="B123" s="53">
        <v>46109</v>
      </c>
      <c r="C123" s="39" t="s">
        <v>329</v>
      </c>
      <c r="D123" s="150">
        <f>IFERROR(_xlfn.XLOOKUP(Transaksi2026[[#This Row],[Keterangan]],COA[Nama Akun],COA[COA]),"")</f>
        <v>2106</v>
      </c>
      <c r="E123" s="9">
        <f>Measurements!AR117+Measurements!AR120+Measurements!AR123+Measurements!AR126</f>
        <v>533335</v>
      </c>
      <c r="F123" s="9"/>
      <c r="G123" s="47"/>
    </row>
    <row r="124" spans="2:7">
      <c r="B124" s="53">
        <v>46109</v>
      </c>
      <c r="C124" s="39" t="s">
        <v>425</v>
      </c>
      <c r="D124" s="150">
        <f>IFERROR(_xlfn.XLOOKUP(Transaksi2026[[#This Row],[Keterangan]],COA[Nama Akun],COA[COA]),"")</f>
        <v>1103</v>
      </c>
      <c r="E124" s="9"/>
      <c r="F124" s="9">
        <f>Measurements!AS117+Measurements!AS120+Measurements!AS123+Measurements!AS126-F125</f>
        <v>5280000</v>
      </c>
      <c r="G124" s="47"/>
    </row>
    <row r="125" spans="2:7">
      <c r="B125" s="53">
        <v>46109</v>
      </c>
      <c r="C125" s="39" t="s">
        <v>147</v>
      </c>
      <c r="D125" s="150">
        <f>IFERROR(_xlfn.XLOOKUP(Transaksi2026[[#This Row],[Keterangan]],COA[Nama Akun],COA[COA]),"")</f>
        <v>4103</v>
      </c>
      <c r="E125" s="9"/>
      <c r="F125" s="9">
        <f>Measurements!AT117+Measurements!AT120+Measurements!AT123+Measurements!AT126</f>
        <v>101835</v>
      </c>
    </row>
    <row r="126" spans="2:7">
      <c r="B126" s="53">
        <v>46109</v>
      </c>
      <c r="C126" s="39" t="s">
        <v>184</v>
      </c>
      <c r="D126" s="150">
        <f>IFERROR(_xlfn.XLOOKUP(Transaksi2026[[#This Row],[Keterangan]],COA[Nama Akun],COA[COA]),"")</f>
        <v>1104</v>
      </c>
      <c r="E126" s="9">
        <f>SUM(Measurements!X47:X49)</f>
        <v>1504904.7619047619</v>
      </c>
      <c r="F126" s="9"/>
    </row>
    <row r="127" spans="2:7">
      <c r="B127" s="53">
        <v>46109</v>
      </c>
      <c r="C127" s="39" t="s">
        <v>126</v>
      </c>
      <c r="D127" s="150">
        <f>IFERROR(_xlfn.XLOOKUP(Transaksi2026[[#This Row],[Keterangan]],COA[Nama Akun],COA[COA]),"")</f>
        <v>5109</v>
      </c>
      <c r="E127" s="9"/>
      <c r="F127" s="9">
        <f>E126</f>
        <v>1504904.7619047619</v>
      </c>
    </row>
    <row r="128" spans="2:7">
      <c r="B128" s="53">
        <v>46110</v>
      </c>
      <c r="C128" s="39" t="s">
        <v>477</v>
      </c>
      <c r="D128" s="150">
        <f>IFERROR(_xlfn.XLOOKUP(Transaksi2026[[#This Row],[Keterangan]],COA[Nama Akun],COA[COA]),"")</f>
        <v>2109</v>
      </c>
      <c r="E128" s="9">
        <f>80%*(Measurements!AS117+Measurements!AS120+Measurements!AS123+Measurements!AS126)</f>
        <v>4305468</v>
      </c>
      <c r="F128" s="9"/>
    </row>
    <row r="129" spans="2:7">
      <c r="B129" s="53">
        <v>46110</v>
      </c>
      <c r="C129" s="39" t="s">
        <v>393</v>
      </c>
      <c r="D129" s="150">
        <f>IFERROR(_xlfn.XLOOKUP(Transaksi2026[[#This Row],[Keterangan]],COA[Nama Akun],COA[COA]),"")</f>
        <v>4103</v>
      </c>
      <c r="E129" s="9"/>
      <c r="F129" s="9">
        <f>E128</f>
        <v>4305468</v>
      </c>
    </row>
    <row r="130" spans="2:7">
      <c r="B130" s="53">
        <v>46111</v>
      </c>
      <c r="C130" s="39" t="s">
        <v>183</v>
      </c>
      <c r="D130" s="150">
        <f>IFERROR(_xlfn.XLOOKUP(Transaksi2026[[#This Row],[Keterangan]],COA[Nama Akun],COA[COA]),"")</f>
        <v>1103</v>
      </c>
      <c r="E130" s="9">
        <f>(Measurements!AS117+Measurements!AS120+Measurements!AS123+Measurements!AS126)*80%</f>
        <v>4305468</v>
      </c>
      <c r="F130" s="9"/>
    </row>
    <row r="131" spans="2:7">
      <c r="B131" s="53">
        <v>46111</v>
      </c>
      <c r="C131" s="39" t="s">
        <v>149</v>
      </c>
      <c r="D131" s="150">
        <f>IFERROR(_xlfn.XLOOKUP(Transaksi2026[[#This Row],[Keterangan]],COA[Nama Akun],COA[COA]),"")</f>
        <v>4101</v>
      </c>
      <c r="E131" s="9"/>
      <c r="F131" s="9">
        <f>80%*(Measurements!AQ117+Measurements!AQ120+Measurements!AQ123+Measurements!AQ126)</f>
        <v>3878800</v>
      </c>
    </row>
    <row r="132" spans="2:7">
      <c r="B132" s="53">
        <v>46111</v>
      </c>
      <c r="C132" s="39" t="s">
        <v>151</v>
      </c>
      <c r="D132" s="150">
        <f>IFERROR(_xlfn.XLOOKUP(Transaksi2026[[#This Row],[Keterangan]],COA[Nama Akun],COA[COA]),"")</f>
        <v>2106</v>
      </c>
      <c r="E132" s="9"/>
      <c r="F132" s="9">
        <f>80%*(Measurements!AR117+Measurements!AR120+Measurements!AR123+Measurements!AR126)</f>
        <v>426668</v>
      </c>
    </row>
    <row r="133" spans="2:7">
      <c r="B133" s="53">
        <v>46111</v>
      </c>
      <c r="C133" s="39" t="s">
        <v>125</v>
      </c>
      <c r="D133" s="150">
        <f>IFERROR(_xlfn.XLOOKUP(Transaksi2026[[#This Row],[Keterangan]],COA[Nama Akun],COA[COA]),"")</f>
        <v>5109</v>
      </c>
      <c r="E133" s="9">
        <f>F134</f>
        <v>2235095.2380952383</v>
      </c>
      <c r="F133" s="9"/>
    </row>
    <row r="134" spans="2:7">
      <c r="B134" s="53">
        <v>46111</v>
      </c>
      <c r="C134" s="39" t="s">
        <v>424</v>
      </c>
      <c r="D134" s="150">
        <f>IFERROR(_xlfn.XLOOKUP(Transaksi2026[[#This Row],[Keterangan]],COA[Nama Akun],COA[COA]),"")</f>
        <v>1104</v>
      </c>
      <c r="E134" s="9"/>
      <c r="F134" s="9">
        <f>SUM(Measurements!X43:X46)</f>
        <v>2235095.2380952383</v>
      </c>
    </row>
    <row r="135" spans="2:7">
      <c r="B135" s="53">
        <v>46112</v>
      </c>
      <c r="C135" s="39" t="s">
        <v>187</v>
      </c>
      <c r="D135" s="150">
        <f>IFERROR(_xlfn.XLOOKUP(Transaksi2026[[#This Row],[Keterangan]],COA[Nama Akun],COA[COA]),"")</f>
        <v>1101</v>
      </c>
      <c r="E135" s="9">
        <f>130%*30000*174</f>
        <v>6786000</v>
      </c>
      <c r="F135" s="9"/>
    </row>
    <row r="136" spans="2:7">
      <c r="B136" s="53">
        <v>46112</v>
      </c>
      <c r="C136" s="39" t="s">
        <v>516</v>
      </c>
      <c r="D136" s="150">
        <f>IFERROR(_xlfn.XLOOKUP(Transaksi2026[[#This Row],[Keterangan]],COA[Nama Akun],COA[COA]),"")</f>
        <v>3102</v>
      </c>
      <c r="E136" s="9"/>
      <c r="F136" s="9">
        <f>174*30000</f>
        <v>5220000</v>
      </c>
      <c r="G136" s="47"/>
    </row>
    <row r="137" spans="2:7">
      <c r="B137" s="53">
        <v>46112</v>
      </c>
      <c r="C137" s="39" t="s">
        <v>408</v>
      </c>
      <c r="D137" s="150">
        <f>IFERROR(_xlfn.XLOOKUP(Transaksi2026[[#This Row],[Keterangan]],COA[Nama Akun],COA[COA]),"")</f>
        <v>3104</v>
      </c>
      <c r="E137" s="9"/>
      <c r="F137" s="9">
        <f>30%*30000*174</f>
        <v>1566000</v>
      </c>
      <c r="G137" s="47"/>
    </row>
    <row r="138" spans="2:7">
      <c r="B138" s="53">
        <v>46112</v>
      </c>
      <c r="C138" s="39" t="s">
        <v>293</v>
      </c>
      <c r="D138" s="150">
        <f>IFERROR(_xlfn.XLOOKUP(Transaksi2026[[#This Row],[Keterangan]],COA[Nama Akun],COA[COA]),"")</f>
        <v>3103</v>
      </c>
      <c r="E138" s="9">
        <f>80000*4</f>
        <v>320000</v>
      </c>
      <c r="F138" s="9"/>
      <c r="G138" s="47"/>
    </row>
    <row r="139" spans="2:7">
      <c r="B139" s="53">
        <v>46112</v>
      </c>
      <c r="C139" s="39" t="s">
        <v>482</v>
      </c>
      <c r="D139" s="150">
        <f>IFERROR(_xlfn.XLOOKUP(Transaksi2026[[#This Row],[Keterangan]],COA[Nama Akun],COA[COA]),"")</f>
        <v>2110</v>
      </c>
      <c r="E139" s="9"/>
      <c r="F139" s="9">
        <f>80000*4</f>
        <v>320000</v>
      </c>
      <c r="G139" s="47"/>
    </row>
    <row r="140" spans="2:7">
      <c r="B140" s="53">
        <v>46115</v>
      </c>
      <c r="C140" s="39" t="s">
        <v>395</v>
      </c>
      <c r="D140" s="150">
        <f>IFERROR(_xlfn.XLOOKUP(Transaksi2026[[#This Row],[Keterangan]],COA[Nama Akun],COA[COA]),"")</f>
        <v>5110</v>
      </c>
      <c r="E140" s="9">
        <f>Utang!E24</f>
        <v>166528.07963231392</v>
      </c>
      <c r="F140" s="9"/>
      <c r="G140" s="47"/>
    </row>
    <row r="141" spans="2:7">
      <c r="B141" s="53">
        <v>46115</v>
      </c>
      <c r="C141" s="39" t="s">
        <v>364</v>
      </c>
      <c r="D141" s="150">
        <f>IFERROR(_xlfn.XLOOKUP(Transaksi2026[[#This Row],[Keterangan]],COA[Nama Akun],COA[COA]),"")</f>
        <v>2106</v>
      </c>
      <c r="E141" s="9">
        <f>Utang!F24</f>
        <v>16804.920367686078</v>
      </c>
      <c r="F141" s="9"/>
      <c r="G141" s="47"/>
    </row>
    <row r="142" spans="2:7">
      <c r="B142" s="53">
        <v>46115</v>
      </c>
      <c r="C142" s="39" t="s">
        <v>398</v>
      </c>
      <c r="D142" s="150">
        <f>IFERROR(_xlfn.XLOOKUP(Transaksi2026[[#This Row],[Keterangan]],COA[Nama Akun],COA[COA]),"")</f>
        <v>1101</v>
      </c>
      <c r="E142" s="9"/>
      <c r="F142" s="9">
        <f>Utang!D24</f>
        <v>183333</v>
      </c>
    </row>
    <row r="143" spans="2:7">
      <c r="B143" s="53">
        <v>46115</v>
      </c>
      <c r="C143" s="39" t="s">
        <v>187</v>
      </c>
      <c r="D143" s="150">
        <f>IFERROR(_xlfn.XLOOKUP(Transaksi2026[[#This Row],[Keterangan]],COA[Nama Akun],COA[COA]),"")</f>
        <v>1101</v>
      </c>
      <c r="E143" s="9">
        <f>Utang!D89</f>
        <v>125000</v>
      </c>
      <c r="F143" s="9"/>
    </row>
    <row r="144" spans="2:7">
      <c r="B144" s="53">
        <v>46115</v>
      </c>
      <c r="C144" s="39" t="s">
        <v>500</v>
      </c>
      <c r="D144" s="150">
        <f>IFERROR(_xlfn.XLOOKUP(Transaksi2026[[#This Row],[Keterangan]],COA[Nama Akun],COA[COA]),"")</f>
        <v>1116</v>
      </c>
      <c r="E144" s="9">
        <f>Utang!F89</f>
        <v>15069.351814695314</v>
      </c>
      <c r="F144" s="9"/>
    </row>
    <row r="145" spans="2:7">
      <c r="B145" s="53">
        <v>46115</v>
      </c>
      <c r="C145" s="39" t="s">
        <v>462</v>
      </c>
      <c r="D145" s="150">
        <f>IFERROR(_xlfn.XLOOKUP(Transaksi2026[[#This Row],[Keterangan]],COA[Nama Akun],COA[COA]),"")</f>
        <v>4105</v>
      </c>
      <c r="E145" s="9"/>
      <c r="F145" s="9">
        <f>Utang!E89</f>
        <v>140069.35181469531</v>
      </c>
      <c r="G145" s="68"/>
    </row>
    <row r="146" spans="2:7">
      <c r="B146" s="53">
        <v>46115</v>
      </c>
      <c r="C146" s="39" t="s">
        <v>395</v>
      </c>
      <c r="D146" s="150">
        <f>IFERROR(_xlfn.XLOOKUP(Transaksi2026[[#This Row],[Keterangan]],COA[Nama Akun],COA[COA]),"")</f>
        <v>5110</v>
      </c>
      <c r="E146" s="9">
        <f>Utang!O53</f>
        <v>158011.38062234022</v>
      </c>
      <c r="F146" s="9"/>
    </row>
    <row r="147" spans="2:7">
      <c r="B147" s="53">
        <v>46115</v>
      </c>
      <c r="C147" s="39" t="s">
        <v>367</v>
      </c>
      <c r="D147" s="150">
        <f>IFERROR(_xlfn.XLOOKUP(Transaksi2026[[#This Row],[Keterangan]],COA[Nama Akun],COA[COA]),"")</f>
        <v>2108</v>
      </c>
      <c r="E147" s="9">
        <f>Utang!N53</f>
        <v>8060.1684419157509</v>
      </c>
      <c r="F147" s="9"/>
    </row>
    <row r="148" spans="2:7">
      <c r="B148" s="53">
        <v>46115</v>
      </c>
      <c r="C148" s="39" t="s">
        <v>400</v>
      </c>
      <c r="D148" s="150">
        <f>IFERROR(_xlfn.XLOOKUP(Transaksi2026[[#This Row],[Keterangan]],COA[Nama Akun],COA[COA]),"")</f>
        <v>2104</v>
      </c>
      <c r="E148" s="9"/>
      <c r="F148" s="9">
        <f>Utang!M53</f>
        <v>166071.54906425596</v>
      </c>
    </row>
    <row r="149" spans="2:7">
      <c r="B149" s="53">
        <v>46117</v>
      </c>
      <c r="C149" s="39" t="s">
        <v>184</v>
      </c>
      <c r="D149" s="150">
        <f>IFERROR(_xlfn.XLOOKUP(Transaksi2026[[#This Row],[Keterangan]],COA[Nama Akun],COA[COA]),"")</f>
        <v>1104</v>
      </c>
      <c r="E149" s="9">
        <f>SUM(Measurements!L45:L49)</f>
        <v>6800000</v>
      </c>
      <c r="F149" s="9"/>
    </row>
    <row r="150" spans="2:7">
      <c r="B150" s="53">
        <v>46117</v>
      </c>
      <c r="C150" s="39" t="s">
        <v>150</v>
      </c>
      <c r="D150" s="150">
        <f>IFERROR(_xlfn.XLOOKUP(Transaksi2026[[#This Row],[Keterangan]],COA[Nama Akun],COA[COA]),"")</f>
        <v>1114</v>
      </c>
      <c r="E150" s="9">
        <f>E149*11%</f>
        <v>748000</v>
      </c>
      <c r="F150" s="9"/>
    </row>
    <row r="151" spans="2:7">
      <c r="B151" s="53">
        <v>46117</v>
      </c>
      <c r="C151" s="39" t="s">
        <v>427</v>
      </c>
      <c r="D151" s="150">
        <f>IFERROR(_xlfn.XLOOKUP(Transaksi2026[[#This Row],[Keterangan]],COA[Nama Akun],COA[COA]),"")</f>
        <v>2101</v>
      </c>
      <c r="E151" s="9"/>
      <c r="F151" s="9">
        <f>SUM(E149:E150)</f>
        <v>7548000</v>
      </c>
      <c r="G151" s="68"/>
    </row>
    <row r="152" spans="2:7">
      <c r="B152" s="53">
        <v>46123</v>
      </c>
      <c r="C152" s="39" t="s">
        <v>415</v>
      </c>
      <c r="D152" s="150">
        <f>IFERROR(_xlfn.XLOOKUP(Transaksi2026[[#This Row],[Keterangan]],COA[Nama Akun],COA[COA]),"")</f>
        <v>5102</v>
      </c>
      <c r="E152" s="9">
        <v>600000</v>
      </c>
      <c r="F152" s="9"/>
    </row>
    <row r="153" spans="2:7">
      <c r="B153" s="53">
        <v>46123</v>
      </c>
      <c r="C153" s="39" t="s">
        <v>428</v>
      </c>
      <c r="D153" s="150">
        <f>IFERROR(_xlfn.XLOOKUP(Transaksi2026[[#This Row],[Keterangan]],COA[Nama Akun],COA[COA]),"")</f>
        <v>2102</v>
      </c>
      <c r="E153" s="9"/>
      <c r="F153" s="9">
        <v>60000</v>
      </c>
    </row>
    <row r="154" spans="2:7">
      <c r="B154" s="53">
        <v>46123</v>
      </c>
      <c r="C154" s="39" t="s">
        <v>429</v>
      </c>
      <c r="D154" s="150">
        <f>IFERROR(_xlfn.XLOOKUP(Transaksi2026[[#This Row],[Keterangan]],COA[Nama Akun],COA[COA]),"")</f>
        <v>2103</v>
      </c>
      <c r="E154" s="9"/>
      <c r="F154" s="9">
        <v>540000</v>
      </c>
    </row>
    <row r="155" spans="2:7">
      <c r="B155" s="53">
        <v>46128</v>
      </c>
      <c r="C155" s="39" t="s">
        <v>196</v>
      </c>
      <c r="D155" s="150">
        <f>IFERROR(_xlfn.XLOOKUP(Transaksi2026[[#This Row],[Keterangan]],COA[Nama Akun],COA[COA]),"")</f>
        <v>2103</v>
      </c>
      <c r="E155" s="9">
        <v>540000</v>
      </c>
      <c r="F155" s="9"/>
    </row>
    <row r="156" spans="2:7">
      <c r="B156" s="53">
        <v>46128</v>
      </c>
      <c r="C156" s="39" t="s">
        <v>398</v>
      </c>
      <c r="D156" s="150">
        <f>IFERROR(_xlfn.XLOOKUP(Transaksi2026[[#This Row],[Keterangan]],COA[Nama Akun],COA[COA]),"")</f>
        <v>1101</v>
      </c>
      <c r="E156" s="9"/>
      <c r="F156" s="9">
        <v>540000</v>
      </c>
    </row>
    <row r="157" spans="2:7">
      <c r="B157" s="53">
        <v>46128</v>
      </c>
      <c r="C157" s="39" t="s">
        <v>417</v>
      </c>
      <c r="D157" s="150">
        <f>IFERROR(_xlfn.XLOOKUP(Transaksi2026[[#This Row],[Keterangan]],COA[Nama Akun],COA[COA]),"")</f>
        <v>5104</v>
      </c>
      <c r="E157" s="9">
        <v>110000</v>
      </c>
      <c r="F157" s="9"/>
    </row>
    <row r="158" spans="2:7">
      <c r="B158" s="53">
        <v>46128</v>
      </c>
      <c r="C158" s="39" t="s">
        <v>398</v>
      </c>
      <c r="D158" s="150">
        <f>IFERROR(_xlfn.XLOOKUP(Transaksi2026[[#This Row],[Keterangan]],COA[Nama Akun],COA[COA]),"")</f>
        <v>1101</v>
      </c>
      <c r="E158" s="9"/>
      <c r="F158" s="9">
        <v>110000</v>
      </c>
    </row>
    <row r="159" spans="2:7">
      <c r="B159" s="53">
        <v>46133</v>
      </c>
      <c r="C159" s="39" t="s">
        <v>183</v>
      </c>
      <c r="D159" s="150">
        <f>IFERROR(_xlfn.XLOOKUP(Transaksi2026[[#This Row],[Keterangan]],COA[Nama Akun],COA[COA]),"")</f>
        <v>1103</v>
      </c>
      <c r="E159" s="9">
        <f>Measurements!AS138+Measurements!AS141+Measurements!AS144+Measurements!AS147+Measurements!AS150+Measurements!AS153+Measurements!AS156</f>
        <v>11303352</v>
      </c>
      <c r="F159" s="9"/>
    </row>
    <row r="160" spans="2:7">
      <c r="B160" s="53">
        <v>46133</v>
      </c>
      <c r="C160" s="39" t="s">
        <v>149</v>
      </c>
      <c r="D160" s="150">
        <f>IFERROR(_xlfn.XLOOKUP(Transaksi2026[[#This Row],[Keterangan]],COA[Nama Akun],COA[COA]),"")</f>
        <v>4101</v>
      </c>
      <c r="E160" s="9"/>
      <c r="F160" s="9">
        <f>Measurements!AQ138+Measurements!AQ141+Measurements!AQ144+Measurements!AQ147+Measurements!AQ150+Measurements!AQ153+Measurements!AQ156</f>
        <v>10183200</v>
      </c>
    </row>
    <row r="161" spans="2:6">
      <c r="B161" s="53">
        <v>46133</v>
      </c>
      <c r="C161" s="39" t="s">
        <v>151</v>
      </c>
      <c r="D161" s="150">
        <f>IFERROR(_xlfn.XLOOKUP(Transaksi2026[[#This Row],[Keterangan]],COA[Nama Akun],COA[COA]),"")</f>
        <v>2106</v>
      </c>
      <c r="E161" s="9"/>
      <c r="F161" s="9">
        <f>Measurements!AR138+Measurements!AR141+Measurements!AR144+Measurements!AR147+Measurements!AR150+Measurements!AR153+Measurements!AR156</f>
        <v>1120152</v>
      </c>
    </row>
    <row r="162" spans="2:6">
      <c r="B162" s="53">
        <v>46133</v>
      </c>
      <c r="C162" s="39" t="s">
        <v>146</v>
      </c>
      <c r="D162" s="150">
        <f>IFERROR(_xlfn.XLOOKUP(Transaksi2026[[#This Row],[Keterangan]],COA[Nama Akun],COA[COA]),"")</f>
        <v>4103</v>
      </c>
      <c r="E162" s="9">
        <f>Measurements!AT138+Measurements!AT141+Measurements!AT144+Measurements!AT147+Measurements!AT150+Measurements!AT153+Measurements!AT156</f>
        <v>143352</v>
      </c>
      <c r="F162" s="9"/>
    </row>
    <row r="163" spans="2:6">
      <c r="B163" s="53">
        <v>46133</v>
      </c>
      <c r="C163" s="39" t="s">
        <v>425</v>
      </c>
      <c r="D163" s="150">
        <f>IFERROR(_xlfn.XLOOKUP(Transaksi2026[[#This Row],[Keterangan]],COA[Nama Akun],COA[COA]),"")</f>
        <v>1103</v>
      </c>
      <c r="E163" s="9"/>
      <c r="F163" s="9">
        <f>E162</f>
        <v>143352</v>
      </c>
    </row>
    <row r="164" spans="2:6">
      <c r="B164" s="53">
        <v>46133</v>
      </c>
      <c r="C164" s="39" t="s">
        <v>125</v>
      </c>
      <c r="D164" s="150">
        <f>IFERROR(_xlfn.XLOOKUP(Transaksi2026[[#This Row],[Keterangan]],COA[Nama Akun],COA[COA]),"")</f>
        <v>5109</v>
      </c>
      <c r="E164" s="9">
        <f>F165</f>
        <v>5439999.9999999991</v>
      </c>
      <c r="F164" s="9"/>
    </row>
    <row r="165" spans="2:6">
      <c r="B165" s="53">
        <v>46133</v>
      </c>
      <c r="C165" s="39" t="s">
        <v>424</v>
      </c>
      <c r="D165" s="150">
        <f>IFERROR(_xlfn.XLOOKUP(Transaksi2026[[#This Row],[Keterangan]],COA[Nama Akun],COA[COA]),"")</f>
        <v>1104</v>
      </c>
      <c r="E165" s="9"/>
      <c r="F165" s="9">
        <f>SUM(Measurements!X50:X56)</f>
        <v>5439999.9999999991</v>
      </c>
    </row>
    <row r="166" spans="2:6">
      <c r="B166" s="53">
        <v>46133</v>
      </c>
      <c r="C166" s="39" t="s">
        <v>419</v>
      </c>
      <c r="D166" s="150">
        <f>IFERROR(_xlfn.XLOOKUP(Transaksi2026[[#This Row],[Keterangan]],COA[Nama Akun],COA[COA]),"")</f>
        <v>5106</v>
      </c>
      <c r="E166" s="9">
        <f>74*10</f>
        <v>740</v>
      </c>
      <c r="F166" s="9"/>
    </row>
    <row r="167" spans="2:6">
      <c r="B167" s="53">
        <v>46133</v>
      </c>
      <c r="C167" s="39" t="s">
        <v>478</v>
      </c>
      <c r="D167" s="150">
        <f>IFERROR(_xlfn.XLOOKUP(Transaksi2026[[#This Row],[Keterangan]],COA[Nama Akun],COA[COA]),"")</f>
        <v>2109</v>
      </c>
      <c r="E167" s="9"/>
      <c r="F167" s="9">
        <f>74*10</f>
        <v>740</v>
      </c>
    </row>
    <row r="168" spans="2:6">
      <c r="B168" s="53">
        <v>46133</v>
      </c>
      <c r="C168" s="39" t="s">
        <v>419</v>
      </c>
      <c r="D168" s="150">
        <f>IFERROR(_xlfn.XLOOKUP(Transaksi2026[[#This Row],[Keterangan]],COA[Nama Akun],COA[COA]),"")</f>
        <v>5106</v>
      </c>
      <c r="E168" s="9">
        <f>80%*E159</f>
        <v>9042681.5999999996</v>
      </c>
      <c r="F168" s="9"/>
    </row>
    <row r="169" spans="2:6">
      <c r="B169" s="53">
        <v>46133</v>
      </c>
      <c r="C169" s="39" t="s">
        <v>478</v>
      </c>
      <c r="D169" s="150">
        <f>IFERROR(_xlfn.XLOOKUP(Transaksi2026[[#This Row],[Keterangan]],COA[Nama Akun],COA[COA]),"")</f>
        <v>2109</v>
      </c>
      <c r="E169" s="9"/>
      <c r="F169" s="9">
        <f>E168</f>
        <v>9042681.5999999996</v>
      </c>
    </row>
    <row r="170" spans="2:6">
      <c r="B170" s="53">
        <v>46137</v>
      </c>
      <c r="C170" s="39" t="s">
        <v>477</v>
      </c>
      <c r="D170" s="150">
        <f>IFERROR(_xlfn.XLOOKUP(Transaksi2026[[#This Row],[Keterangan]],COA[Nama Akun],COA[COA]),"")</f>
        <v>2109</v>
      </c>
      <c r="E170" s="9">
        <f>E166*0.4</f>
        <v>296</v>
      </c>
      <c r="F170" s="9"/>
    </row>
    <row r="171" spans="2:6">
      <c r="B171" s="53">
        <v>46137</v>
      </c>
      <c r="C171" s="39" t="s">
        <v>393</v>
      </c>
      <c r="D171" s="150">
        <f>IFERROR(_xlfn.XLOOKUP(Transaksi2026[[#This Row],[Keterangan]],COA[Nama Akun],COA[COA]),"")</f>
        <v>4103</v>
      </c>
      <c r="E171" s="9"/>
      <c r="F171" s="9">
        <f>E166*0.4</f>
        <v>296</v>
      </c>
    </row>
    <row r="172" spans="2:6">
      <c r="B172" s="53">
        <v>46137</v>
      </c>
      <c r="C172" s="39" t="s">
        <v>283</v>
      </c>
      <c r="D172" s="150">
        <f>IFERROR(_xlfn.XLOOKUP(Transaksi2026[[#This Row],[Keterangan]],COA[Nama Akun],COA[COA]),"")</f>
        <v>4102</v>
      </c>
      <c r="E172" s="9">
        <f>Measurements!AQ138+Measurements!AQ141+Measurements!AQ144+Measurements!AQ147</f>
        <v>6233700</v>
      </c>
      <c r="F172" s="9"/>
    </row>
    <row r="173" spans="2:6">
      <c r="B173" s="53">
        <v>46137</v>
      </c>
      <c r="C173" s="39" t="s">
        <v>329</v>
      </c>
      <c r="D173" s="150">
        <f>IFERROR(_xlfn.XLOOKUP(Transaksi2026[[#This Row],[Keterangan]],COA[Nama Akun],COA[COA]),"")</f>
        <v>2106</v>
      </c>
      <c r="E173" s="9">
        <f>Measurements!AR138+Measurements!AR141+Measurements!AR144+Measurements!AR147</f>
        <v>685707</v>
      </c>
      <c r="F173" s="9"/>
    </row>
    <row r="174" spans="2:6">
      <c r="B174" s="53">
        <v>46137</v>
      </c>
      <c r="C174" s="39" t="s">
        <v>425</v>
      </c>
      <c r="D174" s="150">
        <f>IFERROR(_xlfn.XLOOKUP(Transaksi2026[[#This Row],[Keterangan]],COA[Nama Akun],COA[COA]),"")</f>
        <v>1103</v>
      </c>
      <c r="E174" s="9"/>
      <c r="F174" s="9">
        <f>Measurements!AS138+Measurements!AS141+Measurements!AS144+Measurements!AS147-F175</f>
        <v>6840000</v>
      </c>
    </row>
    <row r="175" spans="2:6">
      <c r="B175" s="53">
        <v>46137</v>
      </c>
      <c r="C175" s="39" t="s">
        <v>147</v>
      </c>
      <c r="D175" s="150">
        <f>IFERROR(_xlfn.XLOOKUP(Transaksi2026[[#This Row],[Keterangan]],COA[Nama Akun],COA[COA]),"")</f>
        <v>4103</v>
      </c>
      <c r="E175" s="9"/>
      <c r="F175" s="9">
        <f>Measurements!AT138+Measurements!AT141+Measurements!AT144+Measurements!AT147</f>
        <v>79407</v>
      </c>
    </row>
    <row r="176" spans="2:6">
      <c r="B176" s="53">
        <v>46137</v>
      </c>
      <c r="C176" s="39" t="s">
        <v>184</v>
      </c>
      <c r="D176" s="150">
        <f>IFERROR(_xlfn.XLOOKUP(Transaksi2026[[#This Row],[Keterangan]],COA[Nama Akun],COA[COA]),"")</f>
        <v>1104</v>
      </c>
      <c r="E176" s="9">
        <f>SUM(Measurements!X54:X56)</f>
        <v>2086015.0375939845</v>
      </c>
      <c r="F176" s="9"/>
    </row>
    <row r="177" spans="2:12">
      <c r="B177" s="53">
        <v>46137</v>
      </c>
      <c r="C177" s="39" t="s">
        <v>126</v>
      </c>
      <c r="D177" s="150">
        <f>IFERROR(_xlfn.XLOOKUP(Transaksi2026[[#This Row],[Keterangan]],COA[Nama Akun],COA[COA]),"")</f>
        <v>5109</v>
      </c>
      <c r="E177" s="9"/>
      <c r="F177" s="9">
        <f>E176</f>
        <v>2086015.0375939845</v>
      </c>
    </row>
    <row r="178" spans="2:12">
      <c r="B178" s="53">
        <v>46138</v>
      </c>
      <c r="C178" s="39" t="s">
        <v>477</v>
      </c>
      <c r="D178" s="150">
        <f>IFERROR(_xlfn.XLOOKUP(Transaksi2026[[#This Row],[Keterangan]],COA[Nama Akun],COA[COA]),"")</f>
        <v>2109</v>
      </c>
      <c r="E178" s="9">
        <f>80%*(Measurements!AS138+Measurements!AS141+Measurements!AS144+Measurements!AS147)</f>
        <v>5535525.6000000006</v>
      </c>
      <c r="F178" s="9"/>
      <c r="H178" s="47"/>
      <c r="I178" s="47"/>
      <c r="J178" s="47"/>
      <c r="K178" s="47"/>
      <c r="L178" s="47"/>
    </row>
    <row r="179" spans="2:12">
      <c r="B179" s="53">
        <v>46138</v>
      </c>
      <c r="C179" s="39" t="s">
        <v>393</v>
      </c>
      <c r="D179" s="150">
        <f>IFERROR(_xlfn.XLOOKUP(Transaksi2026[[#This Row],[Keterangan]],COA[Nama Akun],COA[COA]),"")</f>
        <v>4103</v>
      </c>
      <c r="E179" s="9"/>
      <c r="F179" s="9">
        <f>E178</f>
        <v>5535525.6000000006</v>
      </c>
      <c r="H179" s="47"/>
      <c r="I179" s="47"/>
      <c r="J179" s="47"/>
      <c r="K179" s="47"/>
      <c r="L179" s="47"/>
    </row>
    <row r="180" spans="2:12">
      <c r="B180" s="53">
        <v>46140</v>
      </c>
      <c r="C180" s="39" t="s">
        <v>183</v>
      </c>
      <c r="D180" s="150">
        <f>IFERROR(_xlfn.XLOOKUP(Transaksi2026[[#This Row],[Keterangan]],COA[Nama Akun],COA[COA]),"")</f>
        <v>1103</v>
      </c>
      <c r="E180" s="9">
        <f>80%*(Measurements!AS138+Measurements!AS141+Measurements!AS144+Measurements!AS147)</f>
        <v>5535525.6000000006</v>
      </c>
      <c r="F180" s="9"/>
      <c r="H180" s="47"/>
      <c r="I180" s="47"/>
      <c r="J180" s="47"/>
      <c r="K180" s="47"/>
      <c r="L180" s="47"/>
    </row>
    <row r="181" spans="2:12">
      <c r="B181" s="53">
        <v>46140</v>
      </c>
      <c r="C181" s="39" t="s">
        <v>149</v>
      </c>
      <c r="D181" s="150">
        <f>IFERROR(_xlfn.XLOOKUP(Transaksi2026[[#This Row],[Keterangan]],COA[Nama Akun],COA[COA]),"")</f>
        <v>4101</v>
      </c>
      <c r="E181" s="9"/>
      <c r="F181" s="9">
        <f>80%*(Measurements!AQ138+Measurements!AQ141+Measurements!AQ144+Measurements!AQ147)</f>
        <v>4986960</v>
      </c>
      <c r="H181" s="47"/>
      <c r="I181" s="47"/>
      <c r="J181" s="47"/>
      <c r="K181" s="47"/>
      <c r="L181" s="47"/>
    </row>
    <row r="182" spans="2:12">
      <c r="B182" s="53">
        <v>46140</v>
      </c>
      <c r="C182" s="39" t="s">
        <v>151</v>
      </c>
      <c r="D182" s="150">
        <f>IFERROR(_xlfn.XLOOKUP(Transaksi2026[[#This Row],[Keterangan]],COA[Nama Akun],COA[COA]),"")</f>
        <v>2106</v>
      </c>
      <c r="E182" s="9"/>
      <c r="F182" s="9">
        <f>80%*(Measurements!AR138+Measurements!AR141+Measurements!AR144+Measurements!AR147)</f>
        <v>548565.6</v>
      </c>
      <c r="H182" s="47"/>
      <c r="I182" s="47"/>
      <c r="J182" s="47"/>
      <c r="K182" s="47"/>
      <c r="L182" s="47"/>
    </row>
    <row r="183" spans="2:12">
      <c r="B183" s="53">
        <v>46140</v>
      </c>
      <c r="C183" s="39" t="s">
        <v>125</v>
      </c>
      <c r="D183" s="150">
        <f>IFERROR(_xlfn.XLOOKUP(Transaksi2026[[#This Row],[Keterangan]],COA[Nama Akun],COA[COA]),"")</f>
        <v>5109</v>
      </c>
      <c r="E183" s="9">
        <f>F184</f>
        <v>3353984.962406015</v>
      </c>
      <c r="F183" s="9"/>
      <c r="H183" s="47"/>
      <c r="I183" s="47"/>
      <c r="J183" s="47"/>
      <c r="K183" s="47"/>
      <c r="L183" s="47"/>
    </row>
    <row r="184" spans="2:12">
      <c r="B184" s="53">
        <v>46140</v>
      </c>
      <c r="C184" s="39" t="s">
        <v>424</v>
      </c>
      <c r="D184" s="150">
        <f>IFERROR(_xlfn.XLOOKUP(Transaksi2026[[#This Row],[Keterangan]],COA[Nama Akun],COA[COA]),"")</f>
        <v>1104</v>
      </c>
      <c r="E184" s="9"/>
      <c r="F184" s="9">
        <f>SUM(Measurements!X50:X53)</f>
        <v>3353984.962406015</v>
      </c>
      <c r="H184" s="47"/>
      <c r="I184" s="47"/>
      <c r="J184" s="47"/>
      <c r="K184" s="47"/>
      <c r="L184" s="47"/>
    </row>
    <row r="185" spans="2:12">
      <c r="B185" s="53">
        <v>46142</v>
      </c>
      <c r="C185" s="39" t="s">
        <v>505</v>
      </c>
      <c r="D185" s="150">
        <f>IFERROR(_xlfn.XLOOKUP(Transaksi2026[[#This Row],[Keterangan]],COA[Nama Akun],COA[COA]),"")</f>
        <v>5113</v>
      </c>
      <c r="E185" s="9">
        <f>PMT(5%/12,240,,-100000)</f>
        <v>243.28907254999078</v>
      </c>
      <c r="F185" s="9"/>
      <c r="H185" s="151"/>
      <c r="I185" s="151"/>
      <c r="J185" s="151"/>
      <c r="K185" s="151"/>
      <c r="L185" s="151"/>
    </row>
    <row r="186" spans="2:12">
      <c r="B186" s="53">
        <v>46142</v>
      </c>
      <c r="C186" s="39" t="s">
        <v>398</v>
      </c>
      <c r="D186" s="150">
        <f>IFERROR(_xlfn.XLOOKUP(Transaksi2026[[#This Row],[Keterangan]],COA[Nama Akun],COA[COA]),"")</f>
        <v>1101</v>
      </c>
      <c r="E186" s="9"/>
      <c r="F186" s="9">
        <f>PMT(5%/12,240,,-100000)</f>
        <v>243.28907254999078</v>
      </c>
    </row>
    <row r="187" spans="2:12">
      <c r="B187" s="53">
        <v>46142</v>
      </c>
      <c r="C187" s="39" t="s">
        <v>69</v>
      </c>
      <c r="D187" s="150">
        <f>IFERROR(_xlfn.XLOOKUP(Transaksi2026[[#This Row],[Keterangan]],COA[Nama Akun],COA[COA]),"")</f>
        <v>1109</v>
      </c>
      <c r="E187" s="9">
        <f>SUM(F189:F190)-E188</f>
        <v>2100000</v>
      </c>
      <c r="F187" s="9"/>
    </row>
    <row r="188" spans="2:12">
      <c r="B188" s="53">
        <v>46142</v>
      </c>
      <c r="C188" s="39" t="s">
        <v>454</v>
      </c>
      <c r="D188" s="150">
        <f>IFERROR(_xlfn.XLOOKUP(Transaksi2026[[#This Row],[Keterangan]],COA[Nama Akun],COA[COA]),"")</f>
        <v>1113</v>
      </c>
      <c r="E188" s="9">
        <f>300000*16/12</f>
        <v>400000</v>
      </c>
      <c r="F188" s="9"/>
    </row>
    <row r="189" spans="2:12">
      <c r="B189" s="53">
        <v>46142</v>
      </c>
      <c r="C189" s="39" t="s">
        <v>426</v>
      </c>
      <c r="D189" s="150">
        <f>IFERROR(_xlfn.XLOOKUP(Transaksi2026[[#This Row],[Keterangan]],COA[Nama Akun],COA[COA]),"")</f>
        <v>1109</v>
      </c>
      <c r="E189" s="9"/>
      <c r="F189" s="9">
        <v>1500000</v>
      </c>
    </row>
    <row r="190" spans="2:12">
      <c r="B190" s="53">
        <v>46142</v>
      </c>
      <c r="C190" s="39" t="s">
        <v>398</v>
      </c>
      <c r="D190" s="150">
        <f>IFERROR(_xlfn.XLOOKUP(Transaksi2026[[#This Row],[Keterangan]],COA[Nama Akun],COA[COA]),"")</f>
        <v>1101</v>
      </c>
      <c r="E190" s="9"/>
      <c r="F190" s="9">
        <v>1000000</v>
      </c>
    </row>
    <row r="191" spans="2:12">
      <c r="B191" s="116" t="s">
        <v>51</v>
      </c>
      <c r="C191" s="116"/>
      <c r="D191" s="117">
        <f>E191-F191</f>
        <v>0</v>
      </c>
      <c r="E191" s="118">
        <f>SUBTOTAL(109,Transaksi2026[Debit])</f>
        <v>280235709.96877891</v>
      </c>
      <c r="F191" s="118">
        <f>SUBTOTAL(109,Transaksi2026[Kredit])</f>
        <v>280235709.96877891</v>
      </c>
    </row>
    <row r="192" spans="2:12">
      <c r="E192" s="149" t="str">
        <f>IF(F191&gt;E191,F191-E191,"")</f>
        <v/>
      </c>
      <c r="F192" s="149" t="str">
        <f>IF(E191&gt;F191,E191-F191,"")</f>
        <v/>
      </c>
    </row>
  </sheetData>
  <pageMargins left="0.7" right="0.7" top="0.75" bottom="0.75" header="0.3" footer="0.3"/>
  <pageSetup paperSize="9" scale="69" orientation="portrait" r:id="rId1"/>
  <colBreaks count="1" manualBreakCount="1">
    <brk id="7" max="1048575" man="1"/>
  </colBreaks>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B7A6EB19-824F-419A-810F-FFA0BA5F03B6}">
          <x14:formula1>
            <xm:f>'Kode Akun'!$D:$D</xm:f>
          </x14:formula1>
          <xm:sqref>C8:C190</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37961-3DBA-4E13-8812-B95F25F3A903}">
  <sheetPr codeName="Sheet8">
    <tabColor rgb="FF09C9C8"/>
  </sheetPr>
  <dimension ref="A1:HZ265"/>
  <sheetViews>
    <sheetView showGridLines="0" showRowColHeaders="0" zoomScaleNormal="100" workbookViewId="0">
      <pane ySplit="2" topLeftCell="A3" activePane="bottomLeft" state="frozen"/>
      <selection pane="bottomLeft" activeCell="G17" sqref="G17"/>
    </sheetView>
  </sheetViews>
  <sheetFormatPr defaultRowHeight="15"/>
  <cols>
    <col min="1" max="1" width="17.7109375" bestFit="1" customWidth="1"/>
    <col min="2" max="2" width="29.140625" bestFit="1" customWidth="1"/>
    <col min="3" max="3" width="12.7109375" bestFit="1" customWidth="1"/>
    <col min="4" max="4" width="19.5703125" bestFit="1" customWidth="1"/>
    <col min="5" max="5" width="16" bestFit="1" customWidth="1"/>
    <col min="7" max="7" width="28.85546875" bestFit="1" customWidth="1"/>
    <col min="8" max="8" width="12.5703125" bestFit="1" customWidth="1"/>
    <col min="9" max="10" width="12.7109375" bestFit="1" customWidth="1"/>
    <col min="11" max="11" width="15.7109375" bestFit="1" customWidth="1"/>
    <col min="12" max="12" width="32" bestFit="1" customWidth="1"/>
    <col min="13" max="13" width="15.7109375" bestFit="1" customWidth="1"/>
    <col min="14" max="14" width="33.42578125" bestFit="1" customWidth="1"/>
    <col min="15" max="15" width="6.5703125" bestFit="1" customWidth="1"/>
    <col min="16" max="16" width="11.5703125" bestFit="1" customWidth="1"/>
    <col min="17" max="17" width="19.5703125" bestFit="1" customWidth="1"/>
    <col min="18" max="18" width="12.5703125" customWidth="1"/>
    <col min="19" max="19" width="33.42578125" bestFit="1" customWidth="1"/>
    <col min="20" max="21" width="12.5703125" bestFit="1" customWidth="1"/>
    <col min="23" max="23" width="15.7109375" bestFit="1" customWidth="1"/>
    <col min="24" max="24" width="28" bestFit="1" customWidth="1"/>
    <col min="25" max="25" width="7" bestFit="1" customWidth="1"/>
    <col min="26" max="26" width="16.42578125" bestFit="1" customWidth="1"/>
    <col min="27" max="27" width="12.140625" bestFit="1" customWidth="1"/>
    <col min="36" max="36" width="29.140625" bestFit="1" customWidth="1"/>
    <col min="37" max="37" width="31" bestFit="1" customWidth="1"/>
    <col min="38" max="38" width="13.85546875" bestFit="1" customWidth="1"/>
    <col min="39" max="39" width="17.85546875" bestFit="1" customWidth="1"/>
    <col min="40" max="40" width="12.7109375" bestFit="1" customWidth="1"/>
    <col min="41" max="41" width="13.28515625" bestFit="1" customWidth="1"/>
    <col min="42" max="42" width="18.85546875" bestFit="1" customWidth="1"/>
    <col min="44" max="44" width="31" bestFit="1" customWidth="1"/>
    <col min="45" max="45" width="13.85546875" bestFit="1" customWidth="1"/>
    <col min="46" max="46" width="17.85546875" bestFit="1" customWidth="1"/>
    <col min="47" max="47" width="6.28515625" bestFit="1" customWidth="1"/>
    <col min="48" max="48" width="7.28515625" bestFit="1" customWidth="1"/>
    <col min="49" max="49" width="18.85546875" bestFit="1" customWidth="1"/>
    <col min="50" max="50" width="13.85546875" bestFit="1" customWidth="1"/>
    <col min="51" max="51" width="31" bestFit="1" customWidth="1"/>
    <col min="52" max="52" width="13.85546875" bestFit="1" customWidth="1"/>
    <col min="53" max="53" width="17.85546875" bestFit="1" customWidth="1"/>
    <col min="54" max="55" width="11.5703125" bestFit="1" customWidth="1"/>
    <col min="56" max="56" width="18.85546875" bestFit="1" customWidth="1"/>
    <col min="58" max="58" width="31" bestFit="1" customWidth="1"/>
    <col min="59" max="59" width="13.85546875" bestFit="1" customWidth="1"/>
    <col min="60" max="60" width="17.85546875" bestFit="1" customWidth="1"/>
    <col min="61" max="61" width="11.5703125" bestFit="1" customWidth="1"/>
    <col min="62" max="62" width="7.28515625" bestFit="1" customWidth="1"/>
    <col min="63" max="63" width="18.85546875" bestFit="1" customWidth="1"/>
    <col min="64" max="64" width="17.7109375" bestFit="1" customWidth="1"/>
    <col min="65" max="65" width="31" bestFit="1" customWidth="1"/>
    <col min="66" max="66" width="13.85546875" bestFit="1" customWidth="1"/>
    <col min="67" max="67" width="17.85546875" bestFit="1" customWidth="1"/>
    <col min="68" max="68" width="6.28515625" bestFit="1" customWidth="1"/>
    <col min="69" max="69" width="11.5703125" bestFit="1" customWidth="1"/>
    <col min="70" max="70" width="18.85546875" bestFit="1" customWidth="1"/>
    <col min="72" max="72" width="31" bestFit="1" customWidth="1"/>
    <col min="73" max="73" width="13.85546875" bestFit="1" customWidth="1"/>
    <col min="74" max="74" width="17.85546875" bestFit="1" customWidth="1"/>
    <col min="75" max="75" width="6.28515625" bestFit="1" customWidth="1"/>
    <col min="76" max="76" width="9.85546875" bestFit="1" customWidth="1"/>
    <col min="77" max="77" width="18.85546875" bestFit="1" customWidth="1"/>
    <col min="79" max="79" width="31" bestFit="1" customWidth="1"/>
    <col min="80" max="80" width="13.85546875" bestFit="1" customWidth="1"/>
    <col min="81" max="81" width="17.85546875" bestFit="1" customWidth="1"/>
    <col min="82" max="82" width="11.5703125" bestFit="1" customWidth="1"/>
    <col min="83" max="83" width="7.28515625" bestFit="1" customWidth="1"/>
    <col min="84" max="84" width="18.85546875" bestFit="1" customWidth="1"/>
    <col min="87" max="87" width="31" bestFit="1" customWidth="1"/>
    <col min="88" max="88" width="13.85546875" bestFit="1" customWidth="1"/>
    <col min="89" max="89" width="17.85546875" bestFit="1" customWidth="1"/>
    <col min="90" max="90" width="11.5703125" bestFit="1" customWidth="1"/>
    <col min="91" max="91" width="7.28515625" bestFit="1" customWidth="1"/>
    <col min="92" max="92" width="18.85546875" bestFit="1" customWidth="1"/>
    <col min="94" max="94" width="32.28515625" bestFit="1" customWidth="1"/>
    <col min="95" max="95" width="13.85546875" bestFit="1" customWidth="1"/>
    <col min="96" max="96" width="17.85546875" bestFit="1" customWidth="1"/>
    <col min="97" max="97" width="6.28515625" bestFit="1" customWidth="1"/>
    <col min="98" max="98" width="7.28515625" bestFit="1" customWidth="1"/>
    <col min="99" max="99" width="18.85546875" bestFit="1" customWidth="1"/>
    <col min="101" max="101" width="31" bestFit="1" customWidth="1"/>
    <col min="102" max="102" width="13.85546875" bestFit="1" customWidth="1"/>
    <col min="103" max="103" width="17.85546875" bestFit="1" customWidth="1"/>
    <col min="104" max="104" width="7.5703125" bestFit="1" customWidth="1"/>
    <col min="105" max="105" width="11.5703125" bestFit="1" customWidth="1"/>
    <col min="106" max="106" width="18.85546875" bestFit="1" customWidth="1"/>
    <col min="108" max="108" width="31" bestFit="1" customWidth="1"/>
    <col min="109" max="109" width="13.85546875" bestFit="1" customWidth="1"/>
    <col min="110" max="110" width="17.85546875" bestFit="1" customWidth="1"/>
    <col min="111" max="111" width="6.28515625" bestFit="1" customWidth="1"/>
    <col min="112" max="112" width="8.7109375" bestFit="1" customWidth="1"/>
    <col min="113" max="113" width="18.85546875" bestFit="1" customWidth="1"/>
    <col min="115" max="115" width="31" bestFit="1" customWidth="1"/>
    <col min="116" max="116" width="13.85546875" bestFit="1" customWidth="1"/>
    <col min="117" max="117" width="17.85546875" bestFit="1" customWidth="1"/>
    <col min="118" max="119" width="9.85546875" bestFit="1" customWidth="1"/>
    <col min="120" max="120" width="18.85546875" bestFit="1" customWidth="1"/>
    <col min="122" max="122" width="31" bestFit="1" customWidth="1"/>
    <col min="123" max="123" width="13.85546875" bestFit="1" customWidth="1"/>
    <col min="124" max="124" width="17.85546875" bestFit="1" customWidth="1"/>
    <col min="125" max="125" width="9.85546875" bestFit="1" customWidth="1"/>
    <col min="126" max="126" width="7.28515625" bestFit="1" customWidth="1"/>
    <col min="127" max="127" width="18.85546875" bestFit="1" customWidth="1"/>
    <col min="130" max="130" width="31" bestFit="1" customWidth="1"/>
    <col min="131" max="131" width="13.85546875" bestFit="1" customWidth="1"/>
    <col min="132" max="132" width="17.85546875" bestFit="1" customWidth="1"/>
    <col min="133" max="133" width="6.28515625" bestFit="1" customWidth="1"/>
    <col min="134" max="134" width="9.85546875" bestFit="1" customWidth="1"/>
    <col min="135" max="135" width="18.85546875" bestFit="1" customWidth="1"/>
    <col min="137" max="137" width="31" bestFit="1" customWidth="1"/>
    <col min="138" max="138" width="13.85546875" bestFit="1" customWidth="1"/>
    <col min="139" max="139" width="17.85546875" bestFit="1" customWidth="1"/>
    <col min="140" max="140" width="6.28515625" bestFit="1" customWidth="1"/>
    <col min="141" max="141" width="14.42578125" bestFit="1" customWidth="1"/>
    <col min="142" max="142" width="18.85546875" bestFit="1" customWidth="1"/>
    <col min="144" max="144" width="31" bestFit="1" customWidth="1"/>
    <col min="145" max="145" width="13.85546875" bestFit="1" customWidth="1"/>
    <col min="146" max="146" width="17.85546875" bestFit="1" customWidth="1"/>
    <col min="147" max="147" width="6.28515625" bestFit="1" customWidth="1"/>
    <col min="148" max="148" width="7.28515625" bestFit="1" customWidth="1"/>
    <col min="149" max="149" width="18.85546875" bestFit="1" customWidth="1"/>
    <col min="151" max="151" width="31" bestFit="1" customWidth="1"/>
    <col min="152" max="152" width="13.85546875" bestFit="1" customWidth="1"/>
    <col min="153" max="153" width="17.85546875" bestFit="1" customWidth="1"/>
    <col min="154" max="154" width="12.7109375" bestFit="1" customWidth="1"/>
    <col min="155" max="155" width="11.5703125" bestFit="1" customWidth="1"/>
    <col min="156" max="156" width="18.85546875" bestFit="1" customWidth="1"/>
    <col min="158" max="158" width="31" bestFit="1" customWidth="1"/>
    <col min="159" max="159" width="13.85546875" bestFit="1" customWidth="1"/>
    <col min="160" max="160" width="17.85546875" bestFit="1" customWidth="1"/>
    <col min="161" max="162" width="9.85546875" bestFit="1" customWidth="1"/>
    <col min="163" max="163" width="18.85546875" bestFit="1" customWidth="1"/>
    <col min="165" max="165" width="31" bestFit="1" customWidth="1"/>
    <col min="166" max="166" width="13.85546875" bestFit="1" customWidth="1"/>
    <col min="167" max="167" width="17.85546875" bestFit="1" customWidth="1"/>
    <col min="168" max="169" width="11.5703125" bestFit="1" customWidth="1"/>
    <col min="170" max="170" width="18.85546875" bestFit="1" customWidth="1"/>
    <col min="173" max="173" width="31" bestFit="1" customWidth="1"/>
    <col min="174" max="174" width="13.85546875" bestFit="1" customWidth="1"/>
    <col min="175" max="175" width="17.85546875" bestFit="1" customWidth="1"/>
    <col min="176" max="176" width="6.28515625" bestFit="1" customWidth="1"/>
    <col min="177" max="177" width="7.28515625" bestFit="1" customWidth="1"/>
    <col min="178" max="178" width="18.85546875" bestFit="1" customWidth="1"/>
    <col min="180" max="180" width="31" bestFit="1" customWidth="1"/>
    <col min="181" max="181" width="13.85546875" bestFit="1" customWidth="1"/>
    <col min="182" max="182" width="17.85546875" bestFit="1" customWidth="1"/>
    <col min="183" max="183" width="9.85546875" bestFit="1" customWidth="1"/>
    <col min="184" max="184" width="13.28515625" bestFit="1" customWidth="1"/>
    <col min="185" max="185" width="18.85546875" bestFit="1" customWidth="1"/>
    <col min="187" max="187" width="31" bestFit="1" customWidth="1"/>
    <col min="188" max="188" width="13.85546875" bestFit="1" customWidth="1"/>
    <col min="189" max="189" width="17.85546875" bestFit="1" customWidth="1"/>
    <col min="190" max="190" width="6.28515625" bestFit="1" customWidth="1"/>
    <col min="191" max="191" width="7.28515625" bestFit="1" customWidth="1"/>
    <col min="192" max="192" width="18.85546875" bestFit="1" customWidth="1"/>
    <col min="194" max="194" width="31" bestFit="1" customWidth="1"/>
    <col min="195" max="195" width="13.85546875" bestFit="1" customWidth="1"/>
    <col min="196" max="196" width="17.85546875" bestFit="1" customWidth="1"/>
    <col min="197" max="197" width="9.85546875" bestFit="1" customWidth="1"/>
    <col min="198" max="198" width="11.5703125" bestFit="1" customWidth="1"/>
    <col min="199" max="199" width="18.85546875" bestFit="1" customWidth="1"/>
    <col min="201" max="201" width="31" bestFit="1" customWidth="1"/>
    <col min="202" max="202" width="13.85546875" bestFit="1" customWidth="1"/>
    <col min="203" max="203" width="17.85546875" bestFit="1" customWidth="1"/>
    <col min="204" max="204" width="6.28515625" bestFit="1" customWidth="1"/>
    <col min="205" max="205" width="7.28515625" bestFit="1" customWidth="1"/>
    <col min="206" max="206" width="18.85546875" bestFit="1" customWidth="1"/>
    <col min="208" max="208" width="31" bestFit="1" customWidth="1"/>
    <col min="209" max="209" width="13.85546875" bestFit="1" customWidth="1"/>
    <col min="210" max="210" width="17.85546875" bestFit="1" customWidth="1"/>
    <col min="211" max="211" width="6.28515625" bestFit="1" customWidth="1"/>
    <col min="212" max="212" width="7.28515625" bestFit="1" customWidth="1"/>
    <col min="213" max="213" width="18.85546875" bestFit="1" customWidth="1"/>
    <col min="215" max="215" width="31" bestFit="1" customWidth="1"/>
    <col min="216" max="216" width="13.85546875" bestFit="1" customWidth="1"/>
    <col min="217" max="217" width="17.85546875" bestFit="1" customWidth="1"/>
    <col min="218" max="218" width="6.28515625" bestFit="1" customWidth="1"/>
    <col min="219" max="219" width="7.28515625" bestFit="1" customWidth="1"/>
    <col min="220" max="220" width="18.85546875" bestFit="1" customWidth="1"/>
    <col min="222" max="222" width="31" bestFit="1" customWidth="1"/>
    <col min="223" max="223" width="13.85546875" bestFit="1" customWidth="1"/>
    <col min="224" max="224" width="17.85546875" bestFit="1" customWidth="1"/>
    <col min="225" max="225" width="6.28515625" bestFit="1" customWidth="1"/>
    <col min="226" max="226" width="7.28515625" bestFit="1" customWidth="1"/>
    <col min="227" max="227" width="18.85546875" bestFit="1" customWidth="1"/>
    <col min="229" max="229" width="31" bestFit="1" customWidth="1"/>
    <col min="230" max="230" width="13.85546875" bestFit="1" customWidth="1"/>
    <col min="231" max="231" width="17.85546875" bestFit="1" customWidth="1"/>
    <col min="232" max="232" width="11.5703125" bestFit="1" customWidth="1"/>
    <col min="233" max="233" width="12.7109375" bestFit="1" customWidth="1"/>
    <col min="234" max="234" width="18.85546875" bestFit="1" customWidth="1"/>
  </cols>
  <sheetData>
    <row r="1" spans="1:234" s="33" customFormat="1"/>
    <row r="2" spans="1:234" s="33" customFormat="1"/>
    <row r="3" spans="1:234" ht="15.75">
      <c r="W3" s="23"/>
      <c r="X3" s="24"/>
      <c r="Y3" s="25"/>
      <c r="Z3" s="27"/>
      <c r="AA3" s="28"/>
      <c r="AK3" s="154" t="s">
        <v>39</v>
      </c>
      <c r="AL3" s="24"/>
      <c r="AM3" s="25"/>
      <c r="AN3" s="26"/>
      <c r="AO3" s="27" t="s">
        <v>44</v>
      </c>
      <c r="AP3" s="28">
        <v>1</v>
      </c>
      <c r="AR3" s="154" t="s">
        <v>39</v>
      </c>
      <c r="AS3" s="24"/>
      <c r="AT3" s="25"/>
      <c r="AU3" s="26"/>
      <c r="AV3" s="27" t="s">
        <v>44</v>
      </c>
      <c r="AW3" s="28">
        <v>1</v>
      </c>
      <c r="AY3" s="154" t="s">
        <v>39</v>
      </c>
      <c r="AZ3" s="24"/>
      <c r="BA3" s="25"/>
      <c r="BB3" s="26"/>
      <c r="BC3" s="27" t="s">
        <v>44</v>
      </c>
      <c r="BD3" s="28">
        <v>1</v>
      </c>
      <c r="BF3" s="154" t="s">
        <v>39</v>
      </c>
      <c r="BG3" s="24"/>
      <c r="BH3" s="25"/>
      <c r="BI3" s="26"/>
      <c r="BJ3" s="27" t="s">
        <v>44</v>
      </c>
      <c r="BK3" s="28">
        <v>1</v>
      </c>
      <c r="BM3" s="154" t="s">
        <v>39</v>
      </c>
      <c r="BN3" s="24"/>
      <c r="BO3" s="25"/>
      <c r="BP3" s="26"/>
      <c r="BQ3" s="27" t="s">
        <v>44</v>
      </c>
      <c r="BR3" s="28">
        <v>1</v>
      </c>
      <c r="BT3" s="154" t="s">
        <v>39</v>
      </c>
      <c r="BU3" s="24"/>
      <c r="BV3" s="25"/>
      <c r="BW3" s="26"/>
      <c r="BX3" s="27" t="s">
        <v>44</v>
      </c>
      <c r="BY3" s="28">
        <v>1</v>
      </c>
      <c r="CA3" s="154" t="s">
        <v>39</v>
      </c>
      <c r="CB3" s="24"/>
      <c r="CC3" s="25"/>
      <c r="CD3" s="26"/>
      <c r="CE3" s="27" t="s">
        <v>44</v>
      </c>
      <c r="CF3" s="28">
        <v>1</v>
      </c>
      <c r="CI3" s="154" t="s">
        <v>39</v>
      </c>
      <c r="CJ3" s="24"/>
      <c r="CK3" s="25"/>
      <c r="CL3" s="26"/>
      <c r="CM3" s="27" t="s">
        <v>44</v>
      </c>
      <c r="CN3" s="28">
        <v>1</v>
      </c>
      <c r="CP3" s="154" t="s">
        <v>39</v>
      </c>
      <c r="CQ3" s="24"/>
      <c r="CR3" s="25"/>
      <c r="CS3" s="26"/>
      <c r="CT3" s="27" t="s">
        <v>44</v>
      </c>
      <c r="CU3" s="28">
        <v>1</v>
      </c>
      <c r="CW3" s="154" t="s">
        <v>39</v>
      </c>
      <c r="CX3" s="24"/>
      <c r="CY3" s="25"/>
      <c r="CZ3" s="26"/>
      <c r="DA3" s="27" t="s">
        <v>44</v>
      </c>
      <c r="DB3" s="28">
        <v>1</v>
      </c>
      <c r="DD3" s="154" t="s">
        <v>39</v>
      </c>
      <c r="DE3" s="24"/>
      <c r="DF3" s="25"/>
      <c r="DG3" s="26"/>
      <c r="DH3" s="27" t="s">
        <v>44</v>
      </c>
      <c r="DI3" s="28">
        <v>1</v>
      </c>
      <c r="DK3" s="154" t="s">
        <v>39</v>
      </c>
      <c r="DL3" s="24"/>
      <c r="DM3" s="25"/>
      <c r="DN3" s="26"/>
      <c r="DO3" s="27" t="s">
        <v>44</v>
      </c>
      <c r="DP3" s="28">
        <v>1</v>
      </c>
      <c r="DR3" s="154" t="s">
        <v>39</v>
      </c>
      <c r="DS3" s="24"/>
      <c r="DT3" s="25"/>
      <c r="DU3" s="26"/>
      <c r="DV3" s="27" t="s">
        <v>44</v>
      </c>
      <c r="DW3" s="28">
        <v>1</v>
      </c>
      <c r="DZ3" s="154" t="s">
        <v>39</v>
      </c>
      <c r="EA3" s="24"/>
      <c r="EB3" s="25"/>
      <c r="EC3" s="26"/>
      <c r="ED3" s="27" t="s">
        <v>44</v>
      </c>
      <c r="EE3" s="28">
        <v>1</v>
      </c>
      <c r="EG3" s="154" t="s">
        <v>39</v>
      </c>
      <c r="EH3" s="24"/>
      <c r="EI3" s="25"/>
      <c r="EJ3" s="26"/>
      <c r="EK3" s="27" t="s">
        <v>44</v>
      </c>
      <c r="EL3" s="28">
        <v>1</v>
      </c>
      <c r="EN3" s="154" t="s">
        <v>39</v>
      </c>
      <c r="EO3" s="24"/>
      <c r="EP3" s="25"/>
      <c r="EQ3" s="26"/>
      <c r="ER3" s="27" t="s">
        <v>44</v>
      </c>
      <c r="ES3" s="28">
        <v>1</v>
      </c>
      <c r="EU3" s="154" t="s">
        <v>39</v>
      </c>
      <c r="EV3" s="24"/>
      <c r="EW3" s="25"/>
      <c r="EX3" s="26"/>
      <c r="EY3" s="27" t="s">
        <v>44</v>
      </c>
      <c r="EZ3" s="28">
        <v>1</v>
      </c>
      <c r="FB3" s="154" t="s">
        <v>39</v>
      </c>
      <c r="FC3" s="24"/>
      <c r="FD3" s="25"/>
      <c r="FE3" s="26"/>
      <c r="FF3" s="27" t="s">
        <v>44</v>
      </c>
      <c r="FG3" s="28">
        <v>1</v>
      </c>
      <c r="FI3" s="154" t="s">
        <v>39</v>
      </c>
      <c r="FJ3" s="24"/>
      <c r="FK3" s="25"/>
      <c r="FL3" s="26"/>
      <c r="FM3" s="27" t="s">
        <v>44</v>
      </c>
      <c r="FN3" s="28">
        <v>1</v>
      </c>
      <c r="FQ3" s="154" t="s">
        <v>39</v>
      </c>
      <c r="FR3" s="24"/>
      <c r="FS3" s="25"/>
      <c r="FT3" s="26"/>
      <c r="FU3" s="27" t="s">
        <v>44</v>
      </c>
      <c r="FV3" s="28">
        <v>1</v>
      </c>
      <c r="FX3" s="154" t="s">
        <v>39</v>
      </c>
      <c r="FY3" s="24"/>
      <c r="FZ3" s="25"/>
      <c r="GA3" s="26"/>
      <c r="GB3" s="27" t="s">
        <v>44</v>
      </c>
      <c r="GC3" s="28">
        <v>1</v>
      </c>
      <c r="GE3" s="154" t="s">
        <v>39</v>
      </c>
      <c r="GF3" s="24"/>
      <c r="GG3" s="25"/>
      <c r="GH3" s="26"/>
      <c r="GI3" s="27" t="s">
        <v>44</v>
      </c>
      <c r="GJ3" s="28">
        <v>1</v>
      </c>
      <c r="GL3" s="154" t="s">
        <v>39</v>
      </c>
      <c r="GM3" s="24"/>
      <c r="GN3" s="25"/>
      <c r="GO3" s="26"/>
      <c r="GP3" s="27" t="s">
        <v>44</v>
      </c>
      <c r="GQ3" s="28">
        <v>1</v>
      </c>
      <c r="GS3" s="154" t="s">
        <v>39</v>
      </c>
      <c r="GT3" s="24"/>
      <c r="GU3" s="25"/>
      <c r="GV3" s="26"/>
      <c r="GW3" s="27" t="s">
        <v>44</v>
      </c>
      <c r="GX3" s="28">
        <v>1</v>
      </c>
      <c r="GZ3" s="154" t="s">
        <v>39</v>
      </c>
      <c r="HA3" s="24"/>
      <c r="HB3" s="25"/>
      <c r="HC3" s="26"/>
      <c r="HD3" s="27" t="s">
        <v>44</v>
      </c>
      <c r="HE3" s="28">
        <v>1</v>
      </c>
      <c r="HG3" s="154" t="s">
        <v>39</v>
      </c>
      <c r="HH3" s="24"/>
      <c r="HI3" s="25"/>
      <c r="HJ3" s="26"/>
      <c r="HK3" s="27" t="s">
        <v>44</v>
      </c>
      <c r="HL3" s="28">
        <v>1</v>
      </c>
      <c r="HN3" s="154" t="s">
        <v>39</v>
      </c>
      <c r="HO3" s="24"/>
      <c r="HP3" s="25"/>
      <c r="HQ3" s="26"/>
      <c r="HR3" s="27" t="s">
        <v>44</v>
      </c>
      <c r="HS3" s="28">
        <v>1</v>
      </c>
      <c r="HU3" s="154" t="s">
        <v>39</v>
      </c>
      <c r="HV3" s="24"/>
      <c r="HW3" s="25"/>
      <c r="HX3" s="26"/>
      <c r="HY3" s="27" t="s">
        <v>44</v>
      </c>
      <c r="HZ3" s="28">
        <v>1</v>
      </c>
    </row>
    <row r="4" spans="1:234" ht="15.75">
      <c r="W4" s="23"/>
      <c r="X4" s="24"/>
      <c r="Y4" s="25"/>
      <c r="Z4" s="27"/>
      <c r="AA4" s="28"/>
      <c r="AK4" s="154"/>
      <c r="AL4" s="24"/>
      <c r="AM4" s="25"/>
      <c r="AN4" s="26"/>
      <c r="AO4" s="27"/>
      <c r="AP4" s="28"/>
      <c r="AR4" s="154"/>
      <c r="AS4" s="24"/>
      <c r="AT4" s="25"/>
      <c r="AU4" s="26"/>
      <c r="AV4" s="27"/>
      <c r="AW4" s="28"/>
      <c r="AY4" s="154"/>
      <c r="AZ4" s="24"/>
      <c r="BA4" s="25"/>
      <c r="BB4" s="26"/>
      <c r="BC4" s="27"/>
      <c r="BD4" s="28"/>
      <c r="BF4" s="154"/>
      <c r="BG4" s="24"/>
      <c r="BH4" s="25"/>
      <c r="BI4" s="26"/>
      <c r="BJ4" s="27"/>
      <c r="BK4" s="28"/>
      <c r="BM4" s="154"/>
      <c r="BN4" s="24"/>
      <c r="BO4" s="25"/>
      <c r="BP4" s="26"/>
      <c r="BQ4" s="27"/>
      <c r="BR4" s="28"/>
      <c r="BT4" s="154"/>
      <c r="BU4" s="24"/>
      <c r="BV4" s="25"/>
      <c r="BW4" s="26"/>
      <c r="BX4" s="27"/>
      <c r="BY4" s="28"/>
      <c r="CA4" s="154"/>
      <c r="CB4" s="24"/>
      <c r="CC4" s="25"/>
      <c r="CD4" s="26"/>
      <c r="CE4" s="27"/>
      <c r="CF4" s="28"/>
      <c r="CI4" s="154"/>
      <c r="CJ4" s="24"/>
      <c r="CK4" s="25"/>
      <c r="CL4" s="26"/>
      <c r="CM4" s="27"/>
      <c r="CN4" s="28"/>
      <c r="CP4" s="154"/>
      <c r="CQ4" s="24"/>
      <c r="CR4" s="25"/>
      <c r="CS4" s="26"/>
      <c r="CT4" s="27"/>
      <c r="CU4" s="28"/>
      <c r="CW4" s="154"/>
      <c r="CX4" s="24"/>
      <c r="CY4" s="25"/>
      <c r="CZ4" s="26"/>
      <c r="DA4" s="27"/>
      <c r="DB4" s="28"/>
      <c r="DD4" s="154"/>
      <c r="DE4" s="24"/>
      <c r="DF4" s="25"/>
      <c r="DG4" s="26"/>
      <c r="DH4" s="27"/>
      <c r="DI4" s="28"/>
      <c r="DK4" s="154"/>
      <c r="DL4" s="24"/>
      <c r="DM4" s="25"/>
      <c r="DN4" s="26"/>
      <c r="DO4" s="27"/>
      <c r="DP4" s="28"/>
      <c r="DR4" s="154"/>
      <c r="DS4" s="24"/>
      <c r="DT4" s="25"/>
      <c r="DU4" s="26"/>
      <c r="DV4" s="27"/>
      <c r="DW4" s="28"/>
      <c r="DZ4" s="154"/>
      <c r="EA4" s="24"/>
      <c r="EB4" s="25"/>
      <c r="EC4" s="26"/>
      <c r="ED4" s="27"/>
      <c r="EE4" s="28"/>
      <c r="EG4" s="154"/>
      <c r="EH4" s="24"/>
      <c r="EI4" s="25"/>
      <c r="EJ4" s="26"/>
      <c r="EK4" s="27"/>
      <c r="EL4" s="28"/>
      <c r="EN4" s="154"/>
      <c r="EO4" s="24"/>
      <c r="EP4" s="25"/>
      <c r="EQ4" s="26"/>
      <c r="ER4" s="27"/>
      <c r="ES4" s="28"/>
      <c r="EU4" s="154"/>
      <c r="EV4" s="24"/>
      <c r="EW4" s="25"/>
      <c r="EX4" s="26"/>
      <c r="EY4" s="27"/>
      <c r="EZ4" s="28"/>
      <c r="FB4" s="154"/>
      <c r="FC4" s="24"/>
      <c r="FD4" s="25"/>
      <c r="FE4" s="26"/>
      <c r="FF4" s="27"/>
      <c r="FG4" s="28"/>
      <c r="FI4" s="154"/>
      <c r="FJ4" s="24"/>
      <c r="FK4" s="25"/>
      <c r="FL4" s="26"/>
      <c r="FM4" s="27"/>
      <c r="FN4" s="28"/>
      <c r="FQ4" s="154"/>
      <c r="FR4" s="24"/>
      <c r="FS4" s="25"/>
      <c r="FT4" s="26"/>
      <c r="FU4" s="27"/>
      <c r="FV4" s="28"/>
      <c r="FX4" s="154"/>
      <c r="FY4" s="24"/>
      <c r="FZ4" s="25"/>
      <c r="GA4" s="26"/>
      <c r="GB4" s="27"/>
      <c r="GC4" s="28"/>
      <c r="GE4" s="154"/>
      <c r="GF4" s="24"/>
      <c r="GG4" s="25"/>
      <c r="GH4" s="26"/>
      <c r="GI4" s="27"/>
      <c r="GJ4" s="28"/>
      <c r="GL4" s="154"/>
      <c r="GM4" s="24"/>
      <c r="GN4" s="25"/>
      <c r="GO4" s="26"/>
      <c r="GP4" s="27"/>
      <c r="GQ4" s="28"/>
      <c r="GS4" s="154"/>
      <c r="GT4" s="24"/>
      <c r="GU4" s="25"/>
      <c r="GV4" s="26"/>
      <c r="GW4" s="27"/>
      <c r="GX4" s="28"/>
      <c r="GZ4" s="154"/>
      <c r="HA4" s="24"/>
      <c r="HB4" s="25"/>
      <c r="HC4" s="26"/>
      <c r="HD4" s="27"/>
      <c r="HE4" s="28"/>
      <c r="HG4" s="154"/>
      <c r="HH4" s="24"/>
      <c r="HI4" s="25"/>
      <c r="HJ4" s="26"/>
      <c r="HK4" s="27"/>
      <c r="HL4" s="28"/>
      <c r="HN4" s="154"/>
      <c r="HO4" s="24"/>
      <c r="HP4" s="25"/>
      <c r="HQ4" s="26"/>
      <c r="HR4" s="27"/>
      <c r="HS4" s="28"/>
      <c r="HU4" s="154"/>
      <c r="HV4" s="24"/>
      <c r="HW4" s="25"/>
      <c r="HX4" s="26"/>
      <c r="HY4" s="27"/>
      <c r="HZ4" s="28"/>
    </row>
    <row r="5" spans="1:234" ht="15.75">
      <c r="W5" s="23"/>
      <c r="X5" s="24"/>
      <c r="Y5" s="25"/>
      <c r="Z5" s="27"/>
      <c r="AA5" s="28"/>
      <c r="AK5" s="154"/>
      <c r="AL5" s="24"/>
      <c r="AM5" s="25"/>
      <c r="AN5" s="26"/>
      <c r="AO5" s="27"/>
      <c r="AP5" s="28"/>
      <c r="AR5" s="154"/>
      <c r="AS5" s="24"/>
      <c r="AT5" s="25"/>
      <c r="AU5" s="26"/>
      <c r="AV5" s="27"/>
      <c r="AW5" s="28"/>
      <c r="AY5" s="154"/>
      <c r="AZ5" s="24"/>
      <c r="BA5" s="25"/>
      <c r="BB5" s="26"/>
      <c r="BC5" s="27"/>
      <c r="BD5" s="28"/>
      <c r="BF5" s="154"/>
      <c r="BG5" s="24"/>
      <c r="BH5" s="25"/>
      <c r="BI5" s="26"/>
      <c r="BJ5" s="27"/>
      <c r="BK5" s="28"/>
      <c r="BM5" s="154"/>
      <c r="BN5" s="24"/>
      <c r="BO5" s="25"/>
      <c r="BP5" s="26"/>
      <c r="BQ5" s="27"/>
      <c r="BR5" s="28"/>
      <c r="BT5" s="154"/>
      <c r="BU5" s="24"/>
      <c r="BV5" s="25"/>
      <c r="BW5" s="26"/>
      <c r="BX5" s="27"/>
      <c r="BY5" s="28"/>
      <c r="CA5" s="154"/>
      <c r="CB5" s="24"/>
      <c r="CC5" s="25"/>
      <c r="CD5" s="26"/>
      <c r="CE5" s="27"/>
      <c r="CF5" s="28"/>
      <c r="CI5" s="154"/>
      <c r="CJ5" s="24"/>
      <c r="CK5" s="25"/>
      <c r="CL5" s="26"/>
      <c r="CM5" s="27"/>
      <c r="CN5" s="28"/>
      <c r="CP5" s="154"/>
      <c r="CQ5" s="24"/>
      <c r="CR5" s="25"/>
      <c r="CS5" s="26"/>
      <c r="CT5" s="27"/>
      <c r="CU5" s="28"/>
      <c r="CW5" s="154"/>
      <c r="CX5" s="24"/>
      <c r="CY5" s="25"/>
      <c r="CZ5" s="26"/>
      <c r="DA5" s="27"/>
      <c r="DB5" s="28"/>
      <c r="DD5" s="154"/>
      <c r="DE5" s="24"/>
      <c r="DF5" s="25"/>
      <c r="DG5" s="26"/>
      <c r="DH5" s="27"/>
      <c r="DI5" s="28"/>
      <c r="DK5" s="154"/>
      <c r="DL5" s="24"/>
      <c r="DM5" s="25"/>
      <c r="DN5" s="26"/>
      <c r="DO5" s="27"/>
      <c r="DP5" s="28"/>
      <c r="DR5" s="154"/>
      <c r="DS5" s="24"/>
      <c r="DT5" s="25"/>
      <c r="DU5" s="26"/>
      <c r="DV5" s="27"/>
      <c r="DW5" s="28"/>
      <c r="DZ5" s="154"/>
      <c r="EA5" s="24"/>
      <c r="EB5" s="25"/>
      <c r="EC5" s="26"/>
      <c r="ED5" s="27"/>
      <c r="EE5" s="28"/>
      <c r="EG5" s="154"/>
      <c r="EH5" s="24"/>
      <c r="EI5" s="25"/>
      <c r="EJ5" s="26"/>
      <c r="EK5" s="27"/>
      <c r="EL5" s="28"/>
      <c r="EN5" s="154"/>
      <c r="EO5" s="24"/>
      <c r="EP5" s="25"/>
      <c r="EQ5" s="26"/>
      <c r="ER5" s="27"/>
      <c r="ES5" s="28"/>
      <c r="EU5" s="154"/>
      <c r="EV5" s="24"/>
      <c r="EW5" s="25"/>
      <c r="EX5" s="26"/>
      <c r="EY5" s="27"/>
      <c r="EZ5" s="28"/>
      <c r="FB5" s="154"/>
      <c r="FC5" s="24"/>
      <c r="FD5" s="25"/>
      <c r="FE5" s="26"/>
      <c r="FF5" s="27"/>
      <c r="FG5" s="28"/>
      <c r="FI5" s="154"/>
      <c r="FJ5" s="24"/>
      <c r="FK5" s="25"/>
      <c r="FL5" s="26"/>
      <c r="FM5" s="27"/>
      <c r="FN5" s="28"/>
      <c r="FQ5" s="154"/>
      <c r="FR5" s="24"/>
      <c r="FS5" s="25"/>
      <c r="FT5" s="26"/>
      <c r="FU5" s="27"/>
      <c r="FV5" s="28"/>
      <c r="FX5" s="154"/>
      <c r="FY5" s="24"/>
      <c r="FZ5" s="25"/>
      <c r="GA5" s="26"/>
      <c r="GB5" s="27"/>
      <c r="GC5" s="28"/>
      <c r="GE5" s="154"/>
      <c r="GF5" s="24"/>
      <c r="GG5" s="25"/>
      <c r="GH5" s="26"/>
      <c r="GI5" s="27"/>
      <c r="GJ5" s="28"/>
      <c r="GL5" s="154"/>
      <c r="GM5" s="24"/>
      <c r="GN5" s="25"/>
      <c r="GO5" s="26"/>
      <c r="GP5" s="27"/>
      <c r="GQ5" s="28"/>
      <c r="GS5" s="154"/>
      <c r="GT5" s="24"/>
      <c r="GU5" s="25"/>
      <c r="GV5" s="26"/>
      <c r="GW5" s="27"/>
      <c r="GX5" s="28"/>
      <c r="GZ5" s="154"/>
      <c r="HA5" s="24"/>
      <c r="HB5" s="25"/>
      <c r="HC5" s="26"/>
      <c r="HD5" s="27"/>
      <c r="HE5" s="28"/>
      <c r="HG5" s="154"/>
      <c r="HH5" s="24"/>
      <c r="HI5" s="25"/>
      <c r="HJ5" s="26"/>
      <c r="HK5" s="27"/>
      <c r="HL5" s="28"/>
      <c r="HN5" s="154"/>
      <c r="HO5" s="24"/>
      <c r="HP5" s="25"/>
      <c r="HQ5" s="26"/>
      <c r="HR5" s="27"/>
      <c r="HS5" s="28"/>
      <c r="HU5" s="154"/>
      <c r="HV5" s="24"/>
      <c r="HW5" s="25"/>
      <c r="HX5" s="26"/>
      <c r="HY5" s="27"/>
      <c r="HZ5" s="28"/>
    </row>
    <row r="6" spans="1:234" ht="15.75">
      <c r="W6" s="23"/>
      <c r="X6" s="24"/>
      <c r="Y6" s="25"/>
      <c r="Z6" s="27"/>
      <c r="AA6" s="28"/>
      <c r="AK6" s="154"/>
      <c r="AL6" s="24"/>
      <c r="AM6" s="25"/>
      <c r="AN6" s="26"/>
      <c r="AO6" s="27"/>
      <c r="AP6" s="28"/>
      <c r="AR6" s="154"/>
      <c r="AS6" s="24"/>
      <c r="AT6" s="25"/>
      <c r="AU6" s="26"/>
      <c r="AV6" s="27"/>
      <c r="AW6" s="28"/>
      <c r="AY6" s="154"/>
      <c r="AZ6" s="24"/>
      <c r="BA6" s="25"/>
      <c r="BB6" s="26"/>
      <c r="BC6" s="27"/>
      <c r="BD6" s="28"/>
      <c r="BF6" s="154"/>
      <c r="BG6" s="24"/>
      <c r="BH6" s="25"/>
      <c r="BI6" s="26"/>
      <c r="BJ6" s="27"/>
      <c r="BK6" s="28"/>
      <c r="BM6" s="154"/>
      <c r="BN6" s="24"/>
      <c r="BO6" s="25"/>
      <c r="BP6" s="26"/>
      <c r="BQ6" s="27"/>
      <c r="BR6" s="28"/>
      <c r="BT6" s="154"/>
      <c r="BU6" s="24"/>
      <c r="BV6" s="25"/>
      <c r="BW6" s="26"/>
      <c r="BX6" s="27"/>
      <c r="BY6" s="28"/>
      <c r="CA6" s="154"/>
      <c r="CB6" s="24"/>
      <c r="CC6" s="25"/>
      <c r="CD6" s="26"/>
      <c r="CE6" s="27"/>
      <c r="CF6" s="28"/>
      <c r="CI6" s="154"/>
      <c r="CJ6" s="24"/>
      <c r="CK6" s="25"/>
      <c r="CL6" s="26"/>
      <c r="CM6" s="27"/>
      <c r="CN6" s="28"/>
      <c r="CP6" s="154"/>
      <c r="CQ6" s="24"/>
      <c r="CR6" s="25"/>
      <c r="CS6" s="26"/>
      <c r="CT6" s="27"/>
      <c r="CU6" s="28"/>
      <c r="CW6" s="154"/>
      <c r="CX6" s="24"/>
      <c r="CY6" s="25"/>
      <c r="CZ6" s="26"/>
      <c r="DA6" s="27"/>
      <c r="DB6" s="28"/>
      <c r="DD6" s="154"/>
      <c r="DE6" s="24"/>
      <c r="DF6" s="25"/>
      <c r="DG6" s="26"/>
      <c r="DH6" s="27"/>
      <c r="DI6" s="28"/>
      <c r="DK6" s="154"/>
      <c r="DL6" s="24"/>
      <c r="DM6" s="25"/>
      <c r="DN6" s="26"/>
      <c r="DO6" s="27"/>
      <c r="DP6" s="28"/>
      <c r="DR6" s="154"/>
      <c r="DS6" s="24"/>
      <c r="DT6" s="25"/>
      <c r="DU6" s="26"/>
      <c r="DV6" s="27"/>
      <c r="DW6" s="28"/>
      <c r="DZ6" s="154"/>
      <c r="EA6" s="24"/>
      <c r="EB6" s="25"/>
      <c r="EC6" s="26"/>
      <c r="ED6" s="27"/>
      <c r="EE6" s="28"/>
      <c r="EG6" s="154"/>
      <c r="EH6" s="24"/>
      <c r="EI6" s="25"/>
      <c r="EJ6" s="26"/>
      <c r="EK6" s="27"/>
      <c r="EL6" s="28"/>
      <c r="EN6" s="154"/>
      <c r="EO6" s="24"/>
      <c r="EP6" s="25"/>
      <c r="EQ6" s="26"/>
      <c r="ER6" s="27"/>
      <c r="ES6" s="28"/>
      <c r="EU6" s="154"/>
      <c r="EV6" s="24"/>
      <c r="EW6" s="25"/>
      <c r="EX6" s="26"/>
      <c r="EY6" s="27"/>
      <c r="EZ6" s="28"/>
      <c r="FB6" s="154"/>
      <c r="FC6" s="24"/>
      <c r="FD6" s="25"/>
      <c r="FE6" s="26"/>
      <c r="FF6" s="27"/>
      <c r="FG6" s="28"/>
      <c r="FI6" s="154"/>
      <c r="FJ6" s="24"/>
      <c r="FK6" s="25"/>
      <c r="FL6" s="26"/>
      <c r="FM6" s="27"/>
      <c r="FN6" s="28"/>
      <c r="FQ6" s="154"/>
      <c r="FR6" s="24"/>
      <c r="FS6" s="25"/>
      <c r="FT6" s="26"/>
      <c r="FU6" s="27"/>
      <c r="FV6" s="28"/>
      <c r="FX6" s="154"/>
      <c r="FY6" s="24"/>
      <c r="FZ6" s="25"/>
      <c r="GA6" s="26"/>
      <c r="GB6" s="27"/>
      <c r="GC6" s="28"/>
      <c r="GE6" s="154"/>
      <c r="GF6" s="24"/>
      <c r="GG6" s="25"/>
      <c r="GH6" s="26"/>
      <c r="GI6" s="27"/>
      <c r="GJ6" s="28"/>
      <c r="GL6" s="154"/>
      <c r="GM6" s="24"/>
      <c r="GN6" s="25"/>
      <c r="GO6" s="26"/>
      <c r="GP6" s="27"/>
      <c r="GQ6" s="28"/>
      <c r="GS6" s="154"/>
      <c r="GT6" s="24"/>
      <c r="GU6" s="25"/>
      <c r="GV6" s="26"/>
      <c r="GW6" s="27"/>
      <c r="GX6" s="28"/>
      <c r="GZ6" s="154"/>
      <c r="HA6" s="24"/>
      <c r="HB6" s="25"/>
      <c r="HC6" s="26"/>
      <c r="HD6" s="27"/>
      <c r="HE6" s="28"/>
      <c r="HG6" s="154"/>
      <c r="HH6" s="24"/>
      <c r="HI6" s="25"/>
      <c r="HJ6" s="26"/>
      <c r="HK6" s="27"/>
      <c r="HL6" s="28"/>
      <c r="HN6" s="154"/>
      <c r="HO6" s="24"/>
      <c r="HP6" s="25"/>
      <c r="HQ6" s="26"/>
      <c r="HR6" s="27"/>
      <c r="HS6" s="28"/>
      <c r="HU6" s="154"/>
      <c r="HV6" s="24"/>
      <c r="HW6" s="25"/>
      <c r="HX6" s="26"/>
      <c r="HY6" s="27"/>
      <c r="HZ6" s="28"/>
    </row>
    <row r="7" spans="1:234" ht="15.75">
      <c r="W7" s="23"/>
      <c r="X7" s="24"/>
      <c r="Y7" s="25"/>
      <c r="Z7" s="27"/>
      <c r="AA7" s="28"/>
      <c r="AK7" s="154"/>
      <c r="AL7" s="24"/>
      <c r="AM7" s="25"/>
      <c r="AN7" s="26"/>
      <c r="AO7" s="27"/>
      <c r="AP7" s="28"/>
      <c r="AR7" s="154"/>
      <c r="AS7" s="24"/>
      <c r="AT7" s="25"/>
      <c r="AU7" s="26"/>
      <c r="AV7" s="27"/>
      <c r="AW7" s="28"/>
      <c r="AY7" s="154"/>
      <c r="AZ7" s="24"/>
      <c r="BA7" s="25"/>
      <c r="BB7" s="26"/>
      <c r="BC7" s="27"/>
      <c r="BD7" s="28"/>
      <c r="BF7" s="154"/>
      <c r="BG7" s="24"/>
      <c r="BH7" s="25"/>
      <c r="BI7" s="26"/>
      <c r="BJ7" s="27"/>
      <c r="BK7" s="28"/>
      <c r="BM7" s="154"/>
      <c r="BN7" s="24"/>
      <c r="BO7" s="25"/>
      <c r="BP7" s="26"/>
      <c r="BQ7" s="27"/>
      <c r="BR7" s="28"/>
      <c r="BT7" s="154"/>
      <c r="BU7" s="24"/>
      <c r="BV7" s="25"/>
      <c r="BW7" s="26"/>
      <c r="BX7" s="27"/>
      <c r="BY7" s="28"/>
      <c r="CA7" s="154"/>
      <c r="CB7" s="24"/>
      <c r="CC7" s="25"/>
      <c r="CD7" s="26"/>
      <c r="CE7" s="27"/>
      <c r="CF7" s="28"/>
      <c r="CI7" s="154"/>
      <c r="CJ7" s="24"/>
      <c r="CK7" s="25"/>
      <c r="CL7" s="26"/>
      <c r="CM7" s="27"/>
      <c r="CN7" s="28"/>
      <c r="CP7" s="154"/>
      <c r="CQ7" s="24"/>
      <c r="CR7" s="25"/>
      <c r="CS7" s="26"/>
      <c r="CT7" s="27"/>
      <c r="CU7" s="28"/>
      <c r="CW7" s="154"/>
      <c r="CX7" s="24"/>
      <c r="CY7" s="25"/>
      <c r="CZ7" s="26"/>
      <c r="DA7" s="27"/>
      <c r="DB7" s="28"/>
      <c r="DD7" s="154"/>
      <c r="DE7" s="24"/>
      <c r="DF7" s="25"/>
      <c r="DG7" s="26"/>
      <c r="DH7" s="27"/>
      <c r="DI7" s="28"/>
      <c r="DK7" s="154"/>
      <c r="DL7" s="24"/>
      <c r="DM7" s="25"/>
      <c r="DN7" s="26"/>
      <c r="DO7" s="27"/>
      <c r="DP7" s="28"/>
      <c r="DR7" s="154"/>
      <c r="DS7" s="24"/>
      <c r="DT7" s="25"/>
      <c r="DU7" s="26"/>
      <c r="DV7" s="27"/>
      <c r="DW7" s="28"/>
      <c r="DZ7" s="154"/>
      <c r="EA7" s="24"/>
      <c r="EB7" s="25"/>
      <c r="EC7" s="26"/>
      <c r="ED7" s="27"/>
      <c r="EE7" s="28"/>
      <c r="EG7" s="154"/>
      <c r="EH7" s="24"/>
      <c r="EI7" s="25"/>
      <c r="EJ7" s="26"/>
      <c r="EK7" s="27"/>
      <c r="EL7" s="28"/>
      <c r="EN7" s="154"/>
      <c r="EO7" s="24"/>
      <c r="EP7" s="25"/>
      <c r="EQ7" s="26"/>
      <c r="ER7" s="27"/>
      <c r="ES7" s="28"/>
      <c r="EU7" s="154"/>
      <c r="EV7" s="24"/>
      <c r="EW7" s="25"/>
      <c r="EX7" s="26"/>
      <c r="EY7" s="27"/>
      <c r="EZ7" s="28"/>
      <c r="FB7" s="154"/>
      <c r="FC7" s="24"/>
      <c r="FD7" s="25"/>
      <c r="FE7" s="26"/>
      <c r="FF7" s="27"/>
      <c r="FG7" s="28"/>
      <c r="FI7" s="154"/>
      <c r="FJ7" s="24"/>
      <c r="FK7" s="25"/>
      <c r="FL7" s="26"/>
      <c r="FM7" s="27"/>
      <c r="FN7" s="28"/>
      <c r="FQ7" s="154"/>
      <c r="FR7" s="24"/>
      <c r="FS7" s="25"/>
      <c r="FT7" s="26"/>
      <c r="FU7" s="27"/>
      <c r="FV7" s="28"/>
      <c r="FX7" s="154"/>
      <c r="FY7" s="24"/>
      <c r="FZ7" s="25"/>
      <c r="GA7" s="26"/>
      <c r="GB7" s="27"/>
      <c r="GC7" s="28"/>
      <c r="GE7" s="154"/>
      <c r="GF7" s="24"/>
      <c r="GG7" s="25"/>
      <c r="GH7" s="26"/>
      <c r="GI7" s="27"/>
      <c r="GJ7" s="28"/>
      <c r="GL7" s="154"/>
      <c r="GM7" s="24"/>
      <c r="GN7" s="25"/>
      <c r="GO7" s="26"/>
      <c r="GP7" s="27"/>
      <c r="GQ7" s="28"/>
      <c r="GS7" s="154"/>
      <c r="GT7" s="24"/>
      <c r="GU7" s="25"/>
      <c r="GV7" s="26"/>
      <c r="GW7" s="27"/>
      <c r="GX7" s="28"/>
      <c r="GZ7" s="154"/>
      <c r="HA7" s="24"/>
      <c r="HB7" s="25"/>
      <c r="HC7" s="26"/>
      <c r="HD7" s="27"/>
      <c r="HE7" s="28"/>
      <c r="HG7" s="154"/>
      <c r="HH7" s="24"/>
      <c r="HI7" s="25"/>
      <c r="HJ7" s="26"/>
      <c r="HK7" s="27"/>
      <c r="HL7" s="28"/>
      <c r="HN7" s="154"/>
      <c r="HO7" s="24"/>
      <c r="HP7" s="25"/>
      <c r="HQ7" s="26"/>
      <c r="HR7" s="27"/>
      <c r="HS7" s="28"/>
      <c r="HU7" s="154"/>
      <c r="HV7" s="24"/>
      <c r="HW7" s="25"/>
      <c r="HX7" s="26"/>
      <c r="HY7" s="27"/>
      <c r="HZ7" s="28"/>
    </row>
    <row r="8" spans="1:234" ht="15.75">
      <c r="W8" s="23"/>
      <c r="X8" s="24"/>
      <c r="Y8" s="25"/>
      <c r="Z8" s="27"/>
      <c r="AA8" s="28"/>
      <c r="AK8" s="154"/>
      <c r="AL8" s="24"/>
      <c r="AM8" s="25"/>
      <c r="AN8" s="26"/>
      <c r="AO8" s="27"/>
      <c r="AP8" s="28"/>
      <c r="AR8" s="154"/>
      <c r="AS8" s="24"/>
      <c r="AT8" s="25"/>
      <c r="AU8" s="26"/>
      <c r="AV8" s="27"/>
      <c r="AW8" s="28"/>
      <c r="AY8" s="154"/>
      <c r="AZ8" s="24"/>
      <c r="BA8" s="25"/>
      <c r="BB8" s="26"/>
      <c r="BC8" s="27"/>
      <c r="BD8" s="28"/>
      <c r="BF8" s="154"/>
      <c r="BG8" s="24"/>
      <c r="BH8" s="25"/>
      <c r="BI8" s="26"/>
      <c r="BJ8" s="27"/>
      <c r="BK8" s="28"/>
      <c r="BM8" s="154"/>
      <c r="BN8" s="24"/>
      <c r="BO8" s="25"/>
      <c r="BP8" s="26"/>
      <c r="BQ8" s="27"/>
      <c r="BR8" s="28"/>
      <c r="BT8" s="154"/>
      <c r="BU8" s="24"/>
      <c r="BV8" s="25"/>
      <c r="BW8" s="26"/>
      <c r="BX8" s="27"/>
      <c r="BY8" s="28"/>
      <c r="CA8" s="154"/>
      <c r="CB8" s="24"/>
      <c r="CC8" s="25"/>
      <c r="CD8" s="26"/>
      <c r="CE8" s="27"/>
      <c r="CF8" s="28"/>
      <c r="CI8" s="154"/>
      <c r="CJ8" s="24"/>
      <c r="CK8" s="25"/>
      <c r="CL8" s="26"/>
      <c r="CM8" s="27"/>
      <c r="CN8" s="28"/>
      <c r="CP8" s="154"/>
      <c r="CQ8" s="24"/>
      <c r="CR8" s="25"/>
      <c r="CS8" s="26"/>
      <c r="CT8" s="27"/>
      <c r="CU8" s="28"/>
      <c r="CW8" s="154"/>
      <c r="CX8" s="24"/>
      <c r="CY8" s="25"/>
      <c r="CZ8" s="26"/>
      <c r="DA8" s="27"/>
      <c r="DB8" s="28"/>
      <c r="DD8" s="154"/>
      <c r="DE8" s="24"/>
      <c r="DF8" s="25"/>
      <c r="DG8" s="26"/>
      <c r="DH8" s="27"/>
      <c r="DI8" s="28"/>
      <c r="DK8" s="154"/>
      <c r="DL8" s="24"/>
      <c r="DM8" s="25"/>
      <c r="DN8" s="26"/>
      <c r="DO8" s="27"/>
      <c r="DP8" s="28"/>
      <c r="DR8" s="154"/>
      <c r="DS8" s="24"/>
      <c r="DT8" s="25"/>
      <c r="DU8" s="26"/>
      <c r="DV8" s="27"/>
      <c r="DW8" s="28"/>
      <c r="DZ8" s="154"/>
      <c r="EA8" s="24"/>
      <c r="EB8" s="25"/>
      <c r="EC8" s="26"/>
      <c r="ED8" s="27"/>
      <c r="EE8" s="28"/>
      <c r="EG8" s="154"/>
      <c r="EH8" s="24"/>
      <c r="EI8" s="25"/>
      <c r="EJ8" s="26"/>
      <c r="EK8" s="27"/>
      <c r="EL8" s="28"/>
      <c r="EN8" s="154"/>
      <c r="EO8" s="24"/>
      <c r="EP8" s="25"/>
      <c r="EQ8" s="26"/>
      <c r="ER8" s="27"/>
      <c r="ES8" s="28"/>
      <c r="EU8" s="154"/>
      <c r="EV8" s="24"/>
      <c r="EW8" s="25"/>
      <c r="EX8" s="26"/>
      <c r="EY8" s="27"/>
      <c r="EZ8" s="28"/>
      <c r="FB8" s="154"/>
      <c r="FC8" s="24"/>
      <c r="FD8" s="25"/>
      <c r="FE8" s="26"/>
      <c r="FF8" s="27"/>
      <c r="FG8" s="28"/>
      <c r="FI8" s="154"/>
      <c r="FJ8" s="24"/>
      <c r="FK8" s="25"/>
      <c r="FL8" s="26"/>
      <c r="FM8" s="27"/>
      <c r="FN8" s="28"/>
      <c r="FQ8" s="154"/>
      <c r="FR8" s="24"/>
      <c r="FS8" s="25"/>
      <c r="FT8" s="26"/>
      <c r="FU8" s="27"/>
      <c r="FV8" s="28"/>
      <c r="FX8" s="154"/>
      <c r="FY8" s="24"/>
      <c r="FZ8" s="25"/>
      <c r="GA8" s="26"/>
      <c r="GB8" s="27"/>
      <c r="GC8" s="28"/>
      <c r="GE8" s="154"/>
      <c r="GF8" s="24"/>
      <c r="GG8" s="25"/>
      <c r="GH8" s="26"/>
      <c r="GI8" s="27"/>
      <c r="GJ8" s="28"/>
      <c r="GL8" s="154"/>
      <c r="GM8" s="24"/>
      <c r="GN8" s="25"/>
      <c r="GO8" s="26"/>
      <c r="GP8" s="27"/>
      <c r="GQ8" s="28"/>
      <c r="GS8" s="154"/>
      <c r="GT8" s="24"/>
      <c r="GU8" s="25"/>
      <c r="GV8" s="26"/>
      <c r="GW8" s="27"/>
      <c r="GX8" s="28"/>
      <c r="GZ8" s="154"/>
      <c r="HA8" s="24"/>
      <c r="HB8" s="25"/>
      <c r="HC8" s="26"/>
      <c r="HD8" s="27"/>
      <c r="HE8" s="28"/>
      <c r="HG8" s="154"/>
      <c r="HH8" s="24"/>
      <c r="HI8" s="25"/>
      <c r="HJ8" s="26"/>
      <c r="HK8" s="27"/>
      <c r="HL8" s="28"/>
      <c r="HN8" s="154"/>
      <c r="HO8" s="24"/>
      <c r="HP8" s="25"/>
      <c r="HQ8" s="26"/>
      <c r="HR8" s="27"/>
      <c r="HS8" s="28"/>
      <c r="HU8" s="154"/>
      <c r="HV8" s="24"/>
      <c r="HW8" s="25"/>
      <c r="HX8" s="26"/>
      <c r="HY8" s="27"/>
      <c r="HZ8" s="28"/>
    </row>
    <row r="9" spans="1:234">
      <c r="W9" s="25"/>
      <c r="X9" s="24"/>
      <c r="Y9" s="25"/>
      <c r="Z9" s="293"/>
      <c r="AA9" s="28"/>
      <c r="AK9" s="25" t="s">
        <v>53</v>
      </c>
      <c r="AL9" s="24"/>
      <c r="AM9" s="25"/>
      <c r="AN9" s="26"/>
      <c r="AO9" s="27" t="s">
        <v>45</v>
      </c>
      <c r="AP9" s="28" t="s">
        <v>55</v>
      </c>
      <c r="AR9" s="25" t="s">
        <v>53</v>
      </c>
      <c r="AS9" s="24"/>
      <c r="AT9" s="25"/>
      <c r="AU9" s="26"/>
      <c r="AV9" s="27" t="s">
        <v>45</v>
      </c>
      <c r="AW9" s="28" t="s">
        <v>55</v>
      </c>
      <c r="AY9" s="25" t="s">
        <v>53</v>
      </c>
      <c r="AZ9" s="24"/>
      <c r="BA9" s="25"/>
      <c r="BB9" s="26"/>
      <c r="BC9" s="27" t="s">
        <v>45</v>
      </c>
      <c r="BD9" s="28" t="s">
        <v>55</v>
      </c>
      <c r="BF9" s="25" t="s">
        <v>53</v>
      </c>
      <c r="BG9" s="24"/>
      <c r="BH9" s="25"/>
      <c r="BI9" s="26"/>
      <c r="BJ9" s="27" t="s">
        <v>45</v>
      </c>
      <c r="BK9" s="28" t="s">
        <v>55</v>
      </c>
      <c r="BM9" s="25" t="s">
        <v>53</v>
      </c>
      <c r="BN9" s="24"/>
      <c r="BO9" s="25"/>
      <c r="BP9" s="26"/>
      <c r="BQ9" s="27" t="s">
        <v>45</v>
      </c>
      <c r="BR9" s="28" t="s">
        <v>55</v>
      </c>
      <c r="BT9" s="25" t="s">
        <v>53</v>
      </c>
      <c r="BU9" s="24"/>
      <c r="BV9" s="25"/>
      <c r="BW9" s="26"/>
      <c r="BX9" s="27" t="s">
        <v>45</v>
      </c>
      <c r="BY9" s="28" t="s">
        <v>55</v>
      </c>
      <c r="CA9" s="25" t="s">
        <v>53</v>
      </c>
      <c r="CB9" s="24"/>
      <c r="CC9" s="25"/>
      <c r="CD9" s="26"/>
      <c r="CE9" s="27" t="s">
        <v>45</v>
      </c>
      <c r="CF9" s="28" t="s">
        <v>55</v>
      </c>
      <c r="CI9" s="25" t="s">
        <v>53</v>
      </c>
      <c r="CJ9" s="24"/>
      <c r="CK9" s="25"/>
      <c r="CL9" s="26"/>
      <c r="CM9" s="27" t="s">
        <v>45</v>
      </c>
      <c r="CN9" s="28" t="s">
        <v>55</v>
      </c>
      <c r="CP9" s="25" t="s">
        <v>53</v>
      </c>
      <c r="CQ9" s="24"/>
      <c r="CR9" s="25"/>
      <c r="CS9" s="26"/>
      <c r="CT9" s="27" t="s">
        <v>45</v>
      </c>
      <c r="CU9" s="28" t="s">
        <v>55</v>
      </c>
      <c r="CW9" s="25" t="s">
        <v>53</v>
      </c>
      <c r="CX9" s="24"/>
      <c r="CY9" s="25"/>
      <c r="CZ9" s="26"/>
      <c r="DA9" s="27" t="s">
        <v>45</v>
      </c>
      <c r="DB9" s="28" t="s">
        <v>55</v>
      </c>
      <c r="DD9" s="25" t="s">
        <v>53</v>
      </c>
      <c r="DE9" s="24"/>
      <c r="DF9" s="25"/>
      <c r="DG9" s="26"/>
      <c r="DH9" s="27" t="s">
        <v>45</v>
      </c>
      <c r="DI9" s="28" t="s">
        <v>55</v>
      </c>
      <c r="DK9" s="25" t="s">
        <v>53</v>
      </c>
      <c r="DL9" s="24"/>
      <c r="DM9" s="25"/>
      <c r="DN9" s="26"/>
      <c r="DO9" s="27" t="s">
        <v>45</v>
      </c>
      <c r="DP9" s="28" t="s">
        <v>55</v>
      </c>
      <c r="DR9" s="25" t="s">
        <v>53</v>
      </c>
      <c r="DS9" s="24"/>
      <c r="DT9" s="25"/>
      <c r="DU9" s="26"/>
      <c r="DV9" s="27" t="s">
        <v>45</v>
      </c>
      <c r="DW9" s="28" t="s">
        <v>55</v>
      </c>
      <c r="DZ9" s="25" t="s">
        <v>53</v>
      </c>
      <c r="EA9" s="24"/>
      <c r="EB9" s="25"/>
      <c r="EC9" s="26"/>
      <c r="ED9" s="27" t="s">
        <v>45</v>
      </c>
      <c r="EE9" s="28" t="s">
        <v>55</v>
      </c>
      <c r="EG9" s="25" t="s">
        <v>53</v>
      </c>
      <c r="EH9" s="24"/>
      <c r="EI9" s="25"/>
      <c r="EJ9" s="26"/>
      <c r="EK9" s="27" t="s">
        <v>45</v>
      </c>
      <c r="EL9" s="28" t="s">
        <v>55</v>
      </c>
      <c r="EN9" s="25" t="s">
        <v>53</v>
      </c>
      <c r="EO9" s="24"/>
      <c r="EP9" s="25"/>
      <c r="EQ9" s="26"/>
      <c r="ER9" s="27" t="s">
        <v>45</v>
      </c>
      <c r="ES9" s="28" t="s">
        <v>55</v>
      </c>
      <c r="EU9" s="25" t="s">
        <v>53</v>
      </c>
      <c r="EV9" s="24"/>
      <c r="EW9" s="25"/>
      <c r="EX9" s="26"/>
      <c r="EY9" s="27" t="s">
        <v>45</v>
      </c>
      <c r="EZ9" s="28" t="s">
        <v>55</v>
      </c>
      <c r="FB9" s="25" t="s">
        <v>53</v>
      </c>
      <c r="FC9" s="24"/>
      <c r="FD9" s="25"/>
      <c r="FE9" s="26"/>
      <c r="FF9" s="27" t="s">
        <v>45</v>
      </c>
      <c r="FG9" s="28" t="s">
        <v>55</v>
      </c>
      <c r="FI9" s="25" t="s">
        <v>53</v>
      </c>
      <c r="FJ9" s="24"/>
      <c r="FK9" s="25"/>
      <c r="FL9" s="26"/>
      <c r="FM9" s="27" t="s">
        <v>45</v>
      </c>
      <c r="FN9" s="28" t="s">
        <v>55</v>
      </c>
      <c r="FQ9" s="25" t="s">
        <v>53</v>
      </c>
      <c r="FR9" s="24"/>
      <c r="FS9" s="25"/>
      <c r="FT9" s="26"/>
      <c r="FU9" s="27" t="s">
        <v>45</v>
      </c>
      <c r="FV9" s="28" t="s">
        <v>55</v>
      </c>
      <c r="FX9" s="25" t="s">
        <v>53</v>
      </c>
      <c r="FY9" s="24"/>
      <c r="FZ9" s="25"/>
      <c r="GA9" s="26"/>
      <c r="GB9" s="27" t="s">
        <v>45</v>
      </c>
      <c r="GC9" s="28" t="s">
        <v>55</v>
      </c>
      <c r="GE9" s="25" t="s">
        <v>53</v>
      </c>
      <c r="GF9" s="24"/>
      <c r="GG9" s="25"/>
      <c r="GH9" s="26"/>
      <c r="GI9" s="27" t="s">
        <v>45</v>
      </c>
      <c r="GJ9" s="28" t="s">
        <v>55</v>
      </c>
      <c r="GL9" s="25" t="s">
        <v>53</v>
      </c>
      <c r="GM9" s="24"/>
      <c r="GN9" s="25"/>
      <c r="GO9" s="26"/>
      <c r="GP9" s="27" t="s">
        <v>45</v>
      </c>
      <c r="GQ9" s="28" t="s">
        <v>55</v>
      </c>
      <c r="GS9" s="25" t="s">
        <v>53</v>
      </c>
      <c r="GT9" s="24"/>
      <c r="GU9" s="25"/>
      <c r="GV9" s="26"/>
      <c r="GW9" s="27" t="s">
        <v>45</v>
      </c>
      <c r="GX9" s="28" t="s">
        <v>55</v>
      </c>
      <c r="GZ9" s="25" t="s">
        <v>53</v>
      </c>
      <c r="HA9" s="24"/>
      <c r="HB9" s="25"/>
      <c r="HC9" s="26"/>
      <c r="HD9" s="27" t="s">
        <v>45</v>
      </c>
      <c r="HE9" s="28" t="s">
        <v>55</v>
      </c>
      <c r="HG9" s="25" t="s">
        <v>53</v>
      </c>
      <c r="HH9" s="24"/>
      <c r="HI9" s="25"/>
      <c r="HJ9" s="26"/>
      <c r="HK9" s="27" t="s">
        <v>45</v>
      </c>
      <c r="HL9" s="28" t="s">
        <v>55</v>
      </c>
      <c r="HN9" s="25" t="s">
        <v>53</v>
      </c>
      <c r="HO9" s="24"/>
      <c r="HP9" s="25"/>
      <c r="HQ9" s="26"/>
      <c r="HR9" s="27" t="s">
        <v>45</v>
      </c>
      <c r="HS9" s="28" t="s">
        <v>55</v>
      </c>
      <c r="HU9" s="25" t="s">
        <v>53</v>
      </c>
      <c r="HV9" s="24"/>
      <c r="HW9" s="25"/>
      <c r="HX9" s="26"/>
      <c r="HY9" s="27" t="s">
        <v>45</v>
      </c>
      <c r="HZ9" s="28" t="s">
        <v>55</v>
      </c>
    </row>
    <row r="10" spans="1:234">
      <c r="W10" s="25"/>
      <c r="X10" s="24"/>
      <c r="Y10" s="25"/>
      <c r="Z10" s="293"/>
      <c r="AA10" s="29"/>
      <c r="AK10" s="25" t="s">
        <v>54</v>
      </c>
      <c r="AL10" s="24"/>
      <c r="AM10" s="25"/>
      <c r="AN10" s="26"/>
      <c r="AO10" s="27" t="s">
        <v>46</v>
      </c>
      <c r="AP10" s="29">
        <v>44574.76458333333</v>
      </c>
      <c r="AR10" s="25" t="s">
        <v>54</v>
      </c>
      <c r="AS10" s="24"/>
      <c r="AT10" s="25"/>
      <c r="AU10" s="26"/>
      <c r="AV10" s="27" t="s">
        <v>46</v>
      </c>
      <c r="AW10" s="29">
        <v>44574.76458333333</v>
      </c>
      <c r="AY10" s="25" t="s">
        <v>54</v>
      </c>
      <c r="AZ10" s="24"/>
      <c r="BA10" s="25"/>
      <c r="BB10" s="26"/>
      <c r="BC10" s="27" t="s">
        <v>46</v>
      </c>
      <c r="BD10" s="29">
        <v>44574.76458333333</v>
      </c>
      <c r="BF10" s="25" t="s">
        <v>54</v>
      </c>
      <c r="BG10" s="24"/>
      <c r="BH10" s="25"/>
      <c r="BI10" s="26"/>
      <c r="BJ10" s="27" t="s">
        <v>46</v>
      </c>
      <c r="BK10" s="29">
        <v>44574.76458333333</v>
      </c>
      <c r="BM10" s="25" t="s">
        <v>54</v>
      </c>
      <c r="BN10" s="24"/>
      <c r="BO10" s="25"/>
      <c r="BP10" s="26"/>
      <c r="BQ10" s="27" t="s">
        <v>46</v>
      </c>
      <c r="BR10" s="29">
        <v>44574.76458333333</v>
      </c>
      <c r="BT10" s="25" t="s">
        <v>54</v>
      </c>
      <c r="BU10" s="24"/>
      <c r="BV10" s="25"/>
      <c r="BW10" s="26"/>
      <c r="BX10" s="27" t="s">
        <v>46</v>
      </c>
      <c r="BY10" s="29">
        <v>44574.76458333333</v>
      </c>
      <c r="CA10" s="25" t="s">
        <v>54</v>
      </c>
      <c r="CB10" s="24"/>
      <c r="CC10" s="25"/>
      <c r="CD10" s="26"/>
      <c r="CE10" s="27" t="s">
        <v>46</v>
      </c>
      <c r="CF10" s="29">
        <v>44574.76458333333</v>
      </c>
      <c r="CI10" s="25" t="s">
        <v>54</v>
      </c>
      <c r="CJ10" s="24"/>
      <c r="CK10" s="25"/>
      <c r="CL10" s="26"/>
      <c r="CM10" s="27" t="s">
        <v>46</v>
      </c>
      <c r="CN10" s="29">
        <v>44574.76458333333</v>
      </c>
      <c r="CP10" s="25" t="s">
        <v>54</v>
      </c>
      <c r="CQ10" s="24"/>
      <c r="CR10" s="25"/>
      <c r="CS10" s="26"/>
      <c r="CT10" s="27" t="s">
        <v>46</v>
      </c>
      <c r="CU10" s="29">
        <v>44574.76458333333</v>
      </c>
      <c r="CW10" s="25" t="s">
        <v>54</v>
      </c>
      <c r="CX10" s="24"/>
      <c r="CY10" s="25"/>
      <c r="CZ10" s="26"/>
      <c r="DA10" s="27" t="s">
        <v>46</v>
      </c>
      <c r="DB10" s="29">
        <v>44574.76458333333</v>
      </c>
      <c r="DD10" s="25" t="s">
        <v>54</v>
      </c>
      <c r="DE10" s="24"/>
      <c r="DF10" s="25"/>
      <c r="DG10" s="26"/>
      <c r="DH10" s="27" t="s">
        <v>46</v>
      </c>
      <c r="DI10" s="29">
        <v>44574.76458333333</v>
      </c>
      <c r="DK10" s="25" t="s">
        <v>54</v>
      </c>
      <c r="DL10" s="24"/>
      <c r="DM10" s="25"/>
      <c r="DN10" s="26"/>
      <c r="DO10" s="27" t="s">
        <v>46</v>
      </c>
      <c r="DP10" s="29">
        <v>44574.76458333333</v>
      </c>
      <c r="DR10" s="25" t="s">
        <v>54</v>
      </c>
      <c r="DS10" s="24"/>
      <c r="DT10" s="25"/>
      <c r="DU10" s="26"/>
      <c r="DV10" s="27" t="s">
        <v>46</v>
      </c>
      <c r="DW10" s="29">
        <v>44574.76458333333</v>
      </c>
      <c r="DZ10" s="25" t="s">
        <v>54</v>
      </c>
      <c r="EA10" s="24"/>
      <c r="EB10" s="25"/>
      <c r="EC10" s="26"/>
      <c r="ED10" s="27" t="s">
        <v>46</v>
      </c>
      <c r="EE10" s="29">
        <v>44574.76458333333</v>
      </c>
      <c r="EG10" s="25" t="s">
        <v>54</v>
      </c>
      <c r="EH10" s="24"/>
      <c r="EI10" s="25"/>
      <c r="EJ10" s="26"/>
      <c r="EK10" s="27" t="s">
        <v>46</v>
      </c>
      <c r="EL10" s="29">
        <v>44574.76458333333</v>
      </c>
      <c r="EN10" s="25" t="s">
        <v>54</v>
      </c>
      <c r="EO10" s="24"/>
      <c r="EP10" s="25"/>
      <c r="EQ10" s="26"/>
      <c r="ER10" s="27" t="s">
        <v>46</v>
      </c>
      <c r="ES10" s="29">
        <v>44574.76458333333</v>
      </c>
      <c r="EU10" s="25" t="s">
        <v>54</v>
      </c>
      <c r="EV10" s="24"/>
      <c r="EW10" s="25"/>
      <c r="EX10" s="26"/>
      <c r="EY10" s="27" t="s">
        <v>46</v>
      </c>
      <c r="EZ10" s="29">
        <v>44574.76458333333</v>
      </c>
      <c r="FB10" s="25" t="s">
        <v>54</v>
      </c>
      <c r="FC10" s="24"/>
      <c r="FD10" s="25"/>
      <c r="FE10" s="26"/>
      <c r="FF10" s="27" t="s">
        <v>46</v>
      </c>
      <c r="FG10" s="29">
        <v>44574.76458333333</v>
      </c>
      <c r="FI10" s="25" t="s">
        <v>54</v>
      </c>
      <c r="FJ10" s="24"/>
      <c r="FK10" s="25"/>
      <c r="FL10" s="26"/>
      <c r="FM10" s="27" t="s">
        <v>46</v>
      </c>
      <c r="FN10" s="29">
        <v>44574.76458333333</v>
      </c>
      <c r="FQ10" s="25" t="s">
        <v>54</v>
      </c>
      <c r="FR10" s="24"/>
      <c r="FS10" s="25"/>
      <c r="FT10" s="26"/>
      <c r="FU10" s="27" t="s">
        <v>46</v>
      </c>
      <c r="FV10" s="29">
        <v>44574.76458333333</v>
      </c>
      <c r="FX10" s="25" t="s">
        <v>54</v>
      </c>
      <c r="FY10" s="24"/>
      <c r="FZ10" s="25"/>
      <c r="GA10" s="26"/>
      <c r="GB10" s="27" t="s">
        <v>46</v>
      </c>
      <c r="GC10" s="29">
        <v>44574.76458333333</v>
      </c>
      <c r="GE10" s="25" t="s">
        <v>54</v>
      </c>
      <c r="GF10" s="24"/>
      <c r="GG10" s="25"/>
      <c r="GH10" s="26"/>
      <c r="GI10" s="27" t="s">
        <v>46</v>
      </c>
      <c r="GJ10" s="29">
        <v>44574.76458333333</v>
      </c>
      <c r="GL10" s="25" t="s">
        <v>54</v>
      </c>
      <c r="GM10" s="24"/>
      <c r="GN10" s="25"/>
      <c r="GO10" s="26"/>
      <c r="GP10" s="27" t="s">
        <v>46</v>
      </c>
      <c r="GQ10" s="29">
        <v>44574.76458333333</v>
      </c>
      <c r="GS10" s="25" t="s">
        <v>54</v>
      </c>
      <c r="GT10" s="24"/>
      <c r="GU10" s="25"/>
      <c r="GV10" s="26"/>
      <c r="GW10" s="27" t="s">
        <v>46</v>
      </c>
      <c r="GX10" s="29">
        <v>44574.76458333333</v>
      </c>
      <c r="GZ10" s="25" t="s">
        <v>54</v>
      </c>
      <c r="HA10" s="24"/>
      <c r="HB10" s="25"/>
      <c r="HC10" s="26"/>
      <c r="HD10" s="27" t="s">
        <v>46</v>
      </c>
      <c r="HE10" s="29">
        <v>44574.76458333333</v>
      </c>
      <c r="HG10" s="25" t="s">
        <v>54</v>
      </c>
      <c r="HH10" s="24"/>
      <c r="HI10" s="25"/>
      <c r="HJ10" s="26"/>
      <c r="HK10" s="27" t="s">
        <v>46</v>
      </c>
      <c r="HL10" s="29">
        <v>44574.76458333333</v>
      </c>
      <c r="HN10" s="25" t="s">
        <v>54</v>
      </c>
      <c r="HO10" s="24"/>
      <c r="HP10" s="25"/>
      <c r="HQ10" s="26"/>
      <c r="HR10" s="27" t="s">
        <v>46</v>
      </c>
      <c r="HS10" s="29">
        <v>44574.76458333333</v>
      </c>
      <c r="HU10" s="25" t="s">
        <v>54</v>
      </c>
      <c r="HV10" s="24"/>
      <c r="HW10" s="25"/>
      <c r="HX10" s="26"/>
      <c r="HY10" s="27" t="s">
        <v>46</v>
      </c>
      <c r="HZ10" s="29">
        <v>44574.76458333333</v>
      </c>
    </row>
    <row r="11" spans="1:234" ht="18.75">
      <c r="A11" s="23" t="s">
        <v>39</v>
      </c>
      <c r="B11" s="24"/>
      <c r="C11" s="25"/>
      <c r="D11" s="27"/>
      <c r="E11" s="244">
        <v>2025</v>
      </c>
      <c r="M11" s="23" t="s">
        <v>39</v>
      </c>
      <c r="N11" s="24"/>
      <c r="O11" s="25"/>
      <c r="P11" s="27"/>
      <c r="Q11" s="244">
        <v>2026</v>
      </c>
      <c r="W11" s="25"/>
      <c r="X11" s="24"/>
      <c r="Y11" s="25"/>
      <c r="Z11" s="237"/>
      <c r="AA11" s="29"/>
      <c r="AK11" s="25"/>
      <c r="AL11" s="24"/>
      <c r="AM11" s="25"/>
      <c r="AN11" s="26"/>
      <c r="AO11" s="27"/>
      <c r="AP11" s="29"/>
      <c r="AR11" s="25"/>
      <c r="AS11" s="24"/>
      <c r="AT11" s="25"/>
      <c r="AU11" s="26"/>
      <c r="AV11" s="27"/>
      <c r="AW11" s="29"/>
      <c r="AY11" s="25"/>
      <c r="AZ11" s="24"/>
      <c r="BA11" s="25"/>
      <c r="BB11" s="26"/>
      <c r="BC11" s="27"/>
      <c r="BD11" s="29"/>
      <c r="BF11" s="25"/>
      <c r="BG11" s="24"/>
      <c r="BH11" s="25"/>
      <c r="BI11" s="26"/>
      <c r="BJ11" s="27"/>
      <c r="BK11" s="29"/>
      <c r="BM11" s="25"/>
      <c r="BN11" s="24"/>
      <c r="BO11" s="25"/>
      <c r="BP11" s="26"/>
      <c r="BQ11" s="27"/>
      <c r="BR11" s="29"/>
      <c r="BT11" s="25"/>
      <c r="BU11" s="24"/>
      <c r="BV11" s="25"/>
      <c r="BW11" s="26"/>
      <c r="BX11" s="27"/>
      <c r="BY11" s="29"/>
      <c r="CA11" s="25"/>
      <c r="CB11" s="24"/>
      <c r="CC11" s="25"/>
      <c r="CD11" s="26"/>
      <c r="CE11" s="27"/>
      <c r="CF11" s="29"/>
      <c r="CI11" s="25"/>
      <c r="CJ11" s="24"/>
      <c r="CK11" s="25"/>
      <c r="CL11" s="26"/>
      <c r="CM11" s="27"/>
      <c r="CN11" s="29"/>
      <c r="CP11" s="25"/>
      <c r="CQ11" s="24"/>
      <c r="CR11" s="25"/>
      <c r="CS11" s="26"/>
      <c r="CT11" s="27"/>
      <c r="CU11" s="29"/>
      <c r="CW11" s="25"/>
      <c r="CX11" s="24"/>
      <c r="CY11" s="25"/>
      <c r="CZ11" s="26"/>
      <c r="DA11" s="27"/>
      <c r="DB11" s="29"/>
      <c r="DD11" s="25"/>
      <c r="DE11" s="24"/>
      <c r="DF11" s="25"/>
      <c r="DG11" s="26"/>
      <c r="DH11" s="27"/>
      <c r="DI11" s="29"/>
      <c r="DK11" s="25"/>
      <c r="DL11" s="24"/>
      <c r="DM11" s="25"/>
      <c r="DN11" s="26"/>
      <c r="DO11" s="27"/>
      <c r="DP11" s="29"/>
      <c r="DR11" s="25"/>
      <c r="DS11" s="24"/>
      <c r="DT11" s="25"/>
      <c r="DU11" s="26"/>
      <c r="DV11" s="27"/>
      <c r="DW11" s="29"/>
      <c r="DZ11" s="25"/>
      <c r="EA11" s="24"/>
      <c r="EB11" s="25"/>
      <c r="EC11" s="26"/>
      <c r="ED11" s="27"/>
      <c r="EE11" s="29"/>
      <c r="EG11" s="25"/>
      <c r="EH11" s="24"/>
      <c r="EI11" s="25"/>
      <c r="EJ11" s="26"/>
      <c r="EK11" s="27"/>
      <c r="EL11" s="29"/>
      <c r="EN11" s="25"/>
      <c r="EO11" s="24"/>
      <c r="EP11" s="25"/>
      <c r="EQ11" s="26"/>
      <c r="ER11" s="27"/>
      <c r="ES11" s="29"/>
      <c r="EU11" s="25"/>
      <c r="EV11" s="24"/>
      <c r="EW11" s="25"/>
      <c r="EX11" s="26"/>
      <c r="EY11" s="27"/>
      <c r="EZ11" s="29"/>
      <c r="FB11" s="25"/>
      <c r="FC11" s="24"/>
      <c r="FD11" s="25"/>
      <c r="FE11" s="26"/>
      <c r="FF11" s="27"/>
      <c r="FG11" s="29"/>
      <c r="FI11" s="25"/>
      <c r="FJ11" s="24"/>
      <c r="FK11" s="25"/>
      <c r="FL11" s="26"/>
      <c r="FM11" s="27"/>
      <c r="FN11" s="29"/>
      <c r="FQ11" s="25"/>
      <c r="FR11" s="24"/>
      <c r="FS11" s="25"/>
      <c r="FT11" s="26"/>
      <c r="FU11" s="27"/>
      <c r="FV11" s="29"/>
      <c r="FX11" s="25"/>
      <c r="FY11" s="24"/>
      <c r="FZ11" s="25"/>
      <c r="GA11" s="26"/>
      <c r="GB11" s="27"/>
      <c r="GC11" s="29"/>
      <c r="GE11" s="25"/>
      <c r="GF11" s="24"/>
      <c r="GG11" s="25"/>
      <c r="GH11" s="26"/>
      <c r="GI11" s="27"/>
      <c r="GJ11" s="29"/>
      <c r="GL11" s="25"/>
      <c r="GM11" s="24"/>
      <c r="GN11" s="25"/>
      <c r="GO11" s="26"/>
      <c r="GP11" s="27"/>
      <c r="GQ11" s="29"/>
      <c r="GS11" s="25"/>
      <c r="GT11" s="24"/>
      <c r="GU11" s="25"/>
      <c r="GV11" s="26"/>
      <c r="GW11" s="27"/>
      <c r="GX11" s="29"/>
      <c r="GZ11" s="25"/>
      <c r="HA11" s="24"/>
      <c r="HB11" s="25"/>
      <c r="HC11" s="26"/>
      <c r="HD11" s="27"/>
      <c r="HE11" s="29"/>
      <c r="HG11" s="25"/>
      <c r="HH11" s="24"/>
      <c r="HI11" s="25"/>
      <c r="HJ11" s="26"/>
      <c r="HK11" s="27"/>
      <c r="HL11" s="29"/>
      <c r="HN11" s="25"/>
      <c r="HO11" s="24"/>
      <c r="HP11" s="25"/>
      <c r="HQ11" s="26"/>
      <c r="HR11" s="27"/>
      <c r="HS11" s="29"/>
      <c r="HU11" s="25"/>
      <c r="HV11" s="24"/>
      <c r="HW11" s="25"/>
      <c r="HX11" s="26"/>
      <c r="HY11" s="27"/>
      <c r="HZ11" s="29"/>
    </row>
    <row r="12" spans="1:234" ht="18.75">
      <c r="A12" s="25" t="s">
        <v>53</v>
      </c>
      <c r="B12" s="24"/>
      <c r="C12" s="25"/>
      <c r="D12" s="293" t="s">
        <v>499</v>
      </c>
      <c r="E12" s="28"/>
      <c r="M12" s="25" t="s">
        <v>53</v>
      </c>
      <c r="N12" s="24"/>
      <c r="O12" s="25"/>
      <c r="Q12" s="28"/>
      <c r="W12" s="25"/>
      <c r="X12" s="24"/>
      <c r="Y12" s="25"/>
      <c r="Z12" s="237"/>
      <c r="AA12" s="29"/>
      <c r="AK12" s="25"/>
      <c r="AL12" s="24"/>
      <c r="AM12" s="25"/>
      <c r="AN12" s="26"/>
      <c r="AO12" s="27"/>
      <c r="AP12" s="29"/>
      <c r="AR12" s="25"/>
      <c r="AS12" s="24"/>
      <c r="AT12" s="25"/>
      <c r="AU12" s="26"/>
      <c r="AV12" s="27"/>
      <c r="AW12" s="29"/>
      <c r="AY12" s="25"/>
      <c r="AZ12" s="24"/>
      <c r="BA12" s="25"/>
      <c r="BB12" s="26"/>
      <c r="BC12" s="27"/>
      <c r="BD12" s="29"/>
      <c r="BF12" s="25"/>
      <c r="BG12" s="24"/>
      <c r="BH12" s="25"/>
      <c r="BI12" s="26"/>
      <c r="BJ12" s="27"/>
      <c r="BK12" s="29"/>
      <c r="BM12" s="25"/>
      <c r="BN12" s="24"/>
      <c r="BO12" s="25"/>
      <c r="BP12" s="26"/>
      <c r="BQ12" s="27"/>
      <c r="BR12" s="29"/>
      <c r="BT12" s="25"/>
      <c r="BU12" s="24"/>
      <c r="BV12" s="25"/>
      <c r="BW12" s="26"/>
      <c r="BX12" s="27"/>
      <c r="BY12" s="29"/>
      <c r="CA12" s="25"/>
      <c r="CB12" s="24"/>
      <c r="CC12" s="25"/>
      <c r="CD12" s="26"/>
      <c r="CE12" s="27"/>
      <c r="CF12" s="29"/>
      <c r="CI12" s="25"/>
      <c r="CJ12" s="24"/>
      <c r="CK12" s="25"/>
      <c r="CL12" s="26"/>
      <c r="CM12" s="27"/>
      <c r="CN12" s="29"/>
      <c r="CP12" s="25"/>
      <c r="CQ12" s="24"/>
      <c r="CR12" s="25"/>
      <c r="CS12" s="26"/>
      <c r="CT12" s="27"/>
      <c r="CU12" s="29"/>
      <c r="CW12" s="25"/>
      <c r="CX12" s="24"/>
      <c r="CY12" s="25"/>
      <c r="CZ12" s="26"/>
      <c r="DA12" s="27"/>
      <c r="DB12" s="29"/>
      <c r="DD12" s="25"/>
      <c r="DE12" s="24"/>
      <c r="DF12" s="25"/>
      <c r="DG12" s="26"/>
      <c r="DH12" s="27"/>
      <c r="DI12" s="29"/>
      <c r="DK12" s="25"/>
      <c r="DL12" s="24"/>
      <c r="DM12" s="25"/>
      <c r="DN12" s="26"/>
      <c r="DO12" s="27"/>
      <c r="DP12" s="29"/>
      <c r="DR12" s="25"/>
      <c r="DS12" s="24"/>
      <c r="DT12" s="25"/>
      <c r="DU12" s="26"/>
      <c r="DV12" s="27"/>
      <c r="DW12" s="29"/>
      <c r="DZ12" s="25"/>
      <c r="EA12" s="24"/>
      <c r="EB12" s="25"/>
      <c r="EC12" s="26"/>
      <c r="ED12" s="27"/>
      <c r="EE12" s="29"/>
      <c r="EG12" s="25"/>
      <c r="EH12" s="24"/>
      <c r="EI12" s="25"/>
      <c r="EJ12" s="26"/>
      <c r="EK12" s="27"/>
      <c r="EL12" s="29"/>
      <c r="EN12" s="25"/>
      <c r="EO12" s="24"/>
      <c r="EP12" s="25"/>
      <c r="EQ12" s="26"/>
      <c r="ER12" s="27"/>
      <c r="ES12" s="29"/>
      <c r="EU12" s="25"/>
      <c r="EV12" s="24"/>
      <c r="EW12" s="25"/>
      <c r="EX12" s="26"/>
      <c r="EY12" s="27"/>
      <c r="EZ12" s="29"/>
      <c r="FB12" s="25"/>
      <c r="FC12" s="24"/>
      <c r="FD12" s="25"/>
      <c r="FE12" s="26"/>
      <c r="FF12" s="27"/>
      <c r="FG12" s="29"/>
      <c r="FI12" s="25"/>
      <c r="FJ12" s="24"/>
      <c r="FK12" s="25"/>
      <c r="FL12" s="26"/>
      <c r="FM12" s="27"/>
      <c r="FN12" s="29"/>
      <c r="FQ12" s="25"/>
      <c r="FR12" s="24"/>
      <c r="FS12" s="25"/>
      <c r="FT12" s="26"/>
      <c r="FU12" s="27"/>
      <c r="FV12" s="29"/>
      <c r="FX12" s="25"/>
      <c r="FY12" s="24"/>
      <c r="FZ12" s="25"/>
      <c r="GA12" s="26"/>
      <c r="GB12" s="27"/>
      <c r="GC12" s="29"/>
      <c r="GE12" s="25"/>
      <c r="GF12" s="24"/>
      <c r="GG12" s="25"/>
      <c r="GH12" s="26"/>
      <c r="GI12" s="27"/>
      <c r="GJ12" s="29"/>
      <c r="GL12" s="25"/>
      <c r="GM12" s="24"/>
      <c r="GN12" s="25"/>
      <c r="GO12" s="26"/>
      <c r="GP12" s="27"/>
      <c r="GQ12" s="29"/>
      <c r="GS12" s="25"/>
      <c r="GT12" s="24"/>
      <c r="GU12" s="25"/>
      <c r="GV12" s="26"/>
      <c r="GW12" s="27"/>
      <c r="GX12" s="29"/>
      <c r="GZ12" s="25"/>
      <c r="HA12" s="24"/>
      <c r="HB12" s="25"/>
      <c r="HC12" s="26"/>
      <c r="HD12" s="27"/>
      <c r="HE12" s="29"/>
      <c r="HG12" s="25"/>
      <c r="HH12" s="24"/>
      <c r="HI12" s="25"/>
      <c r="HJ12" s="26"/>
      <c r="HK12" s="27"/>
      <c r="HL12" s="29"/>
      <c r="HN12" s="25"/>
      <c r="HO12" s="24"/>
      <c r="HP12" s="25"/>
      <c r="HQ12" s="26"/>
      <c r="HR12" s="27"/>
      <c r="HS12" s="29"/>
      <c r="HU12" s="25"/>
      <c r="HV12" s="24"/>
      <c r="HW12" s="25"/>
      <c r="HX12" s="26"/>
      <c r="HY12" s="27"/>
      <c r="HZ12" s="29"/>
    </row>
    <row r="13" spans="1:234" ht="18.75">
      <c r="A13" s="25" t="s">
        <v>54</v>
      </c>
      <c r="B13" s="24"/>
      <c r="C13" s="25"/>
      <c r="D13" s="293"/>
      <c r="E13" s="29"/>
      <c r="M13" s="25" t="s">
        <v>54</v>
      </c>
      <c r="N13" s="24"/>
      <c r="O13" s="25"/>
      <c r="Q13" s="293" t="s">
        <v>499</v>
      </c>
      <c r="W13" s="25"/>
      <c r="X13" s="24"/>
      <c r="Y13" s="25"/>
      <c r="Z13" s="237"/>
      <c r="AA13" s="29"/>
      <c r="AK13" s="25"/>
      <c r="AL13" s="24"/>
      <c r="AM13" s="25"/>
      <c r="AN13" s="26"/>
      <c r="AO13" s="27"/>
      <c r="AP13" s="29"/>
      <c r="AR13" s="25"/>
      <c r="AS13" s="24"/>
      <c r="AT13" s="25"/>
      <c r="AU13" s="26"/>
      <c r="AV13" s="27"/>
      <c r="AW13" s="29"/>
      <c r="AY13" s="25"/>
      <c r="AZ13" s="24"/>
      <c r="BA13" s="25"/>
      <c r="BB13" s="26"/>
      <c r="BC13" s="27"/>
      <c r="BD13" s="29"/>
      <c r="BF13" s="25"/>
      <c r="BG13" s="24"/>
      <c r="BH13" s="25"/>
      <c r="BI13" s="26"/>
      <c r="BJ13" s="27"/>
      <c r="BK13" s="29"/>
      <c r="BM13" s="25"/>
      <c r="BN13" s="24"/>
      <c r="BO13" s="25"/>
      <c r="BP13" s="26"/>
      <c r="BQ13" s="27"/>
      <c r="BR13" s="29"/>
      <c r="BT13" s="25"/>
      <c r="BU13" s="24"/>
      <c r="BV13" s="25"/>
      <c r="BW13" s="26"/>
      <c r="BX13" s="27"/>
      <c r="BY13" s="29"/>
      <c r="CA13" s="25"/>
      <c r="CB13" s="24"/>
      <c r="CC13" s="25"/>
      <c r="CD13" s="26"/>
      <c r="CE13" s="27"/>
      <c r="CF13" s="29"/>
      <c r="CI13" s="25"/>
      <c r="CJ13" s="24"/>
      <c r="CK13" s="25"/>
      <c r="CL13" s="26"/>
      <c r="CM13" s="27"/>
      <c r="CN13" s="29"/>
      <c r="CP13" s="25"/>
      <c r="CQ13" s="24"/>
      <c r="CR13" s="25"/>
      <c r="CS13" s="26"/>
      <c r="CT13" s="27"/>
      <c r="CU13" s="29"/>
      <c r="CW13" s="25"/>
      <c r="CX13" s="24"/>
      <c r="CY13" s="25"/>
      <c r="CZ13" s="26"/>
      <c r="DA13" s="27"/>
      <c r="DB13" s="29"/>
      <c r="DD13" s="25"/>
      <c r="DE13" s="24"/>
      <c r="DF13" s="25"/>
      <c r="DG13" s="26"/>
      <c r="DH13" s="27"/>
      <c r="DI13" s="29"/>
      <c r="DK13" s="25"/>
      <c r="DL13" s="24"/>
      <c r="DM13" s="25"/>
      <c r="DN13" s="26"/>
      <c r="DO13" s="27"/>
      <c r="DP13" s="29"/>
      <c r="DR13" s="25"/>
      <c r="DS13" s="24"/>
      <c r="DT13" s="25"/>
      <c r="DU13" s="26"/>
      <c r="DV13" s="27"/>
      <c r="DW13" s="29"/>
      <c r="DZ13" s="25"/>
      <c r="EA13" s="24"/>
      <c r="EB13" s="25"/>
      <c r="EC13" s="26"/>
      <c r="ED13" s="27"/>
      <c r="EE13" s="29"/>
      <c r="EG13" s="25"/>
      <c r="EH13" s="24"/>
      <c r="EI13" s="25"/>
      <c r="EJ13" s="26"/>
      <c r="EK13" s="27"/>
      <c r="EL13" s="29"/>
      <c r="EN13" s="25"/>
      <c r="EO13" s="24"/>
      <c r="EP13" s="25"/>
      <c r="EQ13" s="26"/>
      <c r="ER13" s="27"/>
      <c r="ES13" s="29"/>
      <c r="EU13" s="25"/>
      <c r="EV13" s="24"/>
      <c r="EW13" s="25"/>
      <c r="EX13" s="26"/>
      <c r="EY13" s="27"/>
      <c r="EZ13" s="29"/>
      <c r="FB13" s="25"/>
      <c r="FC13" s="24"/>
      <c r="FD13" s="25"/>
      <c r="FE13" s="26"/>
      <c r="FF13" s="27"/>
      <c r="FG13" s="29"/>
      <c r="FI13" s="25"/>
      <c r="FJ13" s="24"/>
      <c r="FK13" s="25"/>
      <c r="FL13" s="26"/>
      <c r="FM13" s="27"/>
      <c r="FN13" s="29"/>
      <c r="FQ13" s="25"/>
      <c r="FR13" s="24"/>
      <c r="FS13" s="25"/>
      <c r="FT13" s="26"/>
      <c r="FU13" s="27"/>
      <c r="FV13" s="29"/>
      <c r="FX13" s="25"/>
      <c r="FY13" s="24"/>
      <c r="FZ13" s="25"/>
      <c r="GA13" s="26"/>
      <c r="GB13" s="27"/>
      <c r="GC13" s="29"/>
      <c r="GE13" s="25"/>
      <c r="GF13" s="24"/>
      <c r="GG13" s="25"/>
      <c r="GH13" s="26"/>
      <c r="GI13" s="27"/>
      <c r="GJ13" s="29"/>
      <c r="GL13" s="25"/>
      <c r="GM13" s="24"/>
      <c r="GN13" s="25"/>
      <c r="GO13" s="26"/>
      <c r="GP13" s="27"/>
      <c r="GQ13" s="29"/>
      <c r="GS13" s="25"/>
      <c r="GT13" s="24"/>
      <c r="GU13" s="25"/>
      <c r="GV13" s="26"/>
      <c r="GW13" s="27"/>
      <c r="GX13" s="29"/>
      <c r="GZ13" s="25"/>
      <c r="HA13" s="24"/>
      <c r="HB13" s="25"/>
      <c r="HC13" s="26"/>
      <c r="HD13" s="27"/>
      <c r="HE13" s="29"/>
      <c r="HG13" s="25"/>
      <c r="HH13" s="24"/>
      <c r="HI13" s="25"/>
      <c r="HJ13" s="26"/>
      <c r="HK13" s="27"/>
      <c r="HL13" s="29"/>
      <c r="HN13" s="25"/>
      <c r="HO13" s="24"/>
      <c r="HP13" s="25"/>
      <c r="HQ13" s="26"/>
      <c r="HR13" s="27"/>
      <c r="HS13" s="29"/>
      <c r="HU13" s="25"/>
      <c r="HV13" s="24"/>
      <c r="HW13" s="25"/>
      <c r="HX13" s="26"/>
      <c r="HY13" s="27"/>
      <c r="HZ13" s="29"/>
    </row>
    <row r="14" spans="1:234">
      <c r="A14" s="25"/>
      <c r="B14" s="24"/>
      <c r="C14" s="25"/>
      <c r="D14" s="26"/>
      <c r="E14" s="26"/>
      <c r="M14" s="25"/>
      <c r="N14" s="24"/>
      <c r="O14" s="25"/>
      <c r="P14" s="26"/>
      <c r="Q14" s="293"/>
      <c r="W14" s="25"/>
      <c r="X14" s="24"/>
      <c r="Y14" s="25"/>
      <c r="Z14" s="26"/>
      <c r="AA14" s="26"/>
      <c r="AK14" s="25"/>
      <c r="AL14" s="24"/>
      <c r="AM14" s="25"/>
      <c r="AN14" s="26"/>
      <c r="AO14" s="26"/>
      <c r="AP14" s="26"/>
      <c r="AR14" s="25"/>
      <c r="AS14" s="24"/>
      <c r="AT14" s="25"/>
      <c r="AU14" s="26"/>
      <c r="AV14" s="26"/>
      <c r="AW14" s="26"/>
      <c r="AY14" s="25"/>
      <c r="AZ14" s="24"/>
      <c r="BA14" s="25"/>
      <c r="BB14" s="26"/>
      <c r="BC14" s="26"/>
      <c r="BD14" s="26"/>
      <c r="BF14" s="25"/>
      <c r="BG14" s="24"/>
      <c r="BH14" s="25"/>
      <c r="BI14" s="26"/>
      <c r="BJ14" s="26"/>
      <c r="BK14" s="26"/>
      <c r="BM14" s="25"/>
      <c r="BN14" s="24"/>
      <c r="BO14" s="25"/>
      <c r="BP14" s="26"/>
      <c r="BQ14" s="26"/>
      <c r="BR14" s="26"/>
      <c r="BT14" s="25"/>
      <c r="BU14" s="24"/>
      <c r="BV14" s="25"/>
      <c r="BW14" s="26"/>
      <c r="BX14" s="26"/>
      <c r="BY14" s="26"/>
      <c r="CA14" s="25"/>
      <c r="CB14" s="24"/>
      <c r="CC14" s="25"/>
      <c r="CD14" s="26"/>
      <c r="CE14" s="26"/>
      <c r="CF14" s="26"/>
      <c r="CI14" s="25"/>
      <c r="CJ14" s="24"/>
      <c r="CK14" s="25"/>
      <c r="CL14" s="26"/>
      <c r="CM14" s="26"/>
      <c r="CN14" s="26"/>
      <c r="CP14" s="25"/>
      <c r="CQ14" s="24"/>
      <c r="CR14" s="25"/>
      <c r="CS14" s="26"/>
      <c r="CT14" s="26"/>
      <c r="CU14" s="26"/>
      <c r="CW14" s="25"/>
      <c r="CX14" s="24"/>
      <c r="CY14" s="25"/>
      <c r="CZ14" s="26"/>
      <c r="DA14" s="26"/>
      <c r="DB14" s="26"/>
      <c r="DD14" s="25"/>
      <c r="DE14" s="24"/>
      <c r="DF14" s="25"/>
      <c r="DG14" s="26"/>
      <c r="DH14" s="26"/>
      <c r="DI14" s="26"/>
      <c r="DK14" s="25"/>
      <c r="DL14" s="24"/>
      <c r="DM14" s="25"/>
      <c r="DN14" s="26"/>
      <c r="DO14" s="26"/>
      <c r="DP14" s="26"/>
      <c r="DR14" s="25"/>
      <c r="DS14" s="24"/>
      <c r="DT14" s="25"/>
      <c r="DU14" s="26"/>
      <c r="DV14" s="26"/>
      <c r="DW14" s="26"/>
      <c r="DZ14" s="25"/>
      <c r="EA14" s="24"/>
      <c r="EB14" s="25"/>
      <c r="EC14" s="26"/>
      <c r="ED14" s="26"/>
      <c r="EE14" s="26"/>
      <c r="EG14" s="25"/>
      <c r="EH14" s="24"/>
      <c r="EI14" s="25"/>
      <c r="EJ14" s="26"/>
      <c r="EK14" s="26"/>
      <c r="EL14" s="26"/>
      <c r="EN14" s="25"/>
      <c r="EO14" s="24"/>
      <c r="EP14" s="25"/>
      <c r="EQ14" s="26"/>
      <c r="ER14" s="26"/>
      <c r="ES14" s="26"/>
      <c r="EU14" s="25"/>
      <c r="EV14" s="24"/>
      <c r="EW14" s="25"/>
      <c r="EX14" s="26"/>
      <c r="EY14" s="26"/>
      <c r="EZ14" s="26"/>
      <c r="FB14" s="25"/>
      <c r="FC14" s="24"/>
      <c r="FD14" s="25"/>
      <c r="FE14" s="26"/>
      <c r="FF14" s="26"/>
      <c r="FG14" s="26"/>
      <c r="FI14" s="25"/>
      <c r="FJ14" s="24"/>
      <c r="FK14" s="25"/>
      <c r="FL14" s="26"/>
      <c r="FM14" s="26"/>
      <c r="FN14" s="26"/>
      <c r="FQ14" s="25"/>
      <c r="FR14" s="24"/>
      <c r="FS14" s="25"/>
      <c r="FT14" s="26"/>
      <c r="FU14" s="26"/>
      <c r="FV14" s="26"/>
      <c r="FX14" s="25"/>
      <c r="FY14" s="24"/>
      <c r="FZ14" s="25"/>
      <c r="GA14" s="26"/>
      <c r="GB14" s="26"/>
      <c r="GC14" s="26"/>
      <c r="GE14" s="25"/>
      <c r="GF14" s="24"/>
      <c r="GG14" s="25"/>
      <c r="GH14" s="26"/>
      <c r="GI14" s="26"/>
      <c r="GJ14" s="26"/>
      <c r="GL14" s="25"/>
      <c r="GM14" s="24"/>
      <c r="GN14" s="25"/>
      <c r="GO14" s="26"/>
      <c r="GP14" s="26"/>
      <c r="GQ14" s="26"/>
      <c r="GS14" s="25"/>
      <c r="GT14" s="24"/>
      <c r="GU14" s="25"/>
      <c r="GV14" s="26"/>
      <c r="GW14" s="26"/>
      <c r="GX14" s="26"/>
      <c r="GZ14" s="25"/>
      <c r="HA14" s="24"/>
      <c r="HB14" s="25"/>
      <c r="HC14" s="26"/>
      <c r="HD14" s="26"/>
      <c r="HE14" s="26"/>
      <c r="HG14" s="25"/>
      <c r="HH14" s="24"/>
      <c r="HI14" s="25"/>
      <c r="HJ14" s="26"/>
      <c r="HK14" s="26"/>
      <c r="HL14" s="26"/>
      <c r="HN14" s="25"/>
      <c r="HO14" s="24"/>
      <c r="HP14" s="25"/>
      <c r="HQ14" s="26"/>
      <c r="HR14" s="26"/>
      <c r="HS14" s="26"/>
      <c r="HU14" s="25"/>
      <c r="HV14" s="24"/>
      <c r="HW14" s="25"/>
      <c r="HX14" s="26"/>
      <c r="HY14" s="26"/>
      <c r="HZ14" s="26"/>
    </row>
    <row r="15" spans="1:234">
      <c r="A15" s="30"/>
      <c r="B15" s="24"/>
      <c r="C15" s="25"/>
      <c r="D15" s="26" t="str">
        <f>IF(B14="Keterangan",B15,"")</f>
        <v/>
      </c>
      <c r="E15" s="224" t="s">
        <v>460</v>
      </c>
      <c r="M15" s="30"/>
      <c r="N15" s="24"/>
      <c r="O15" s="25"/>
      <c r="P15" s="26" t="str">
        <f>IF(N14="Keterangan",N15,"")</f>
        <v/>
      </c>
      <c r="Q15" s="224" t="s">
        <v>460</v>
      </c>
      <c r="W15" s="30"/>
      <c r="X15" s="24"/>
      <c r="Y15" s="25"/>
      <c r="Z15" s="26" t="str">
        <f>IF(X14="Keterangan",X15,"")</f>
        <v/>
      </c>
      <c r="AA15" s="224"/>
      <c r="AK15" s="30" t="s">
        <v>187</v>
      </c>
      <c r="AL15" s="24"/>
      <c r="AM15" s="25"/>
      <c r="AN15" s="26"/>
      <c r="AO15" s="26"/>
      <c r="AP15" s="26"/>
      <c r="AR15" s="30" t="s">
        <v>1</v>
      </c>
      <c r="AS15" s="24"/>
      <c r="AT15" s="25"/>
      <c r="AU15" s="26"/>
      <c r="AV15" s="26"/>
      <c r="AW15" s="26"/>
      <c r="AY15" s="30" t="s">
        <v>183</v>
      </c>
      <c r="AZ15" s="24"/>
      <c r="BA15" s="25"/>
      <c r="BB15" s="26"/>
      <c r="BC15" s="26"/>
      <c r="BD15" s="26"/>
      <c r="BF15" s="30" t="s">
        <v>184</v>
      </c>
      <c r="BG15" s="24"/>
      <c r="BH15" s="25"/>
      <c r="BI15" s="26"/>
      <c r="BJ15" s="26"/>
      <c r="BK15" s="26"/>
      <c r="BM15" s="30" t="s">
        <v>70</v>
      </c>
      <c r="BN15" s="24"/>
      <c r="BO15" s="25"/>
      <c r="BP15" s="26"/>
      <c r="BQ15" s="26"/>
      <c r="BR15" s="26"/>
      <c r="BT15" s="30" t="s">
        <v>122</v>
      </c>
      <c r="BU15" s="24"/>
      <c r="BV15" s="25"/>
      <c r="BW15" s="26"/>
      <c r="BX15" s="26"/>
      <c r="BY15" s="26"/>
      <c r="CA15" s="30" t="s">
        <v>186</v>
      </c>
      <c r="CB15" s="24"/>
      <c r="CC15" s="25"/>
      <c r="CD15" s="26"/>
      <c r="CE15" s="26"/>
      <c r="CF15" s="26"/>
      <c r="CI15" s="30" t="s">
        <v>69</v>
      </c>
      <c r="CJ15" s="24"/>
      <c r="CK15" s="25"/>
      <c r="CL15" s="26"/>
      <c r="CM15" s="26"/>
      <c r="CN15" s="26"/>
      <c r="CP15" s="30" t="s">
        <v>8</v>
      </c>
      <c r="CQ15" s="24"/>
      <c r="CR15" s="25"/>
      <c r="CS15" s="26"/>
      <c r="CT15" s="26"/>
      <c r="CU15" s="26"/>
      <c r="CW15" s="30" t="s">
        <v>195</v>
      </c>
      <c r="CX15" s="24"/>
      <c r="CY15" s="25"/>
      <c r="CZ15" s="26"/>
      <c r="DA15" s="26"/>
      <c r="DB15" s="26"/>
      <c r="DD15" s="30" t="s">
        <v>130</v>
      </c>
      <c r="DE15" s="24"/>
      <c r="DF15" s="25"/>
      <c r="DG15" s="26"/>
      <c r="DH15" s="26"/>
      <c r="DI15" s="26"/>
      <c r="DK15" s="30" t="s">
        <v>196</v>
      </c>
      <c r="DL15" s="24"/>
      <c r="DM15" s="25"/>
      <c r="DN15" s="26"/>
      <c r="DO15" s="26"/>
      <c r="DP15" s="26"/>
      <c r="DR15" s="30" t="s">
        <v>150</v>
      </c>
      <c r="DS15" s="24"/>
      <c r="DT15" s="25"/>
      <c r="DU15" s="26"/>
      <c r="DV15" s="26"/>
      <c r="DW15" s="26"/>
      <c r="DZ15" s="30" t="s">
        <v>151</v>
      </c>
      <c r="EA15" s="24"/>
      <c r="EB15" s="25"/>
      <c r="EC15" s="26"/>
      <c r="ED15" s="26"/>
      <c r="EE15" s="26"/>
      <c r="EG15" s="30" t="s">
        <v>9</v>
      </c>
      <c r="EH15" s="24"/>
      <c r="EI15" s="25"/>
      <c r="EJ15" s="26"/>
      <c r="EK15" s="26"/>
      <c r="EL15" s="26"/>
      <c r="EN15" s="30" t="s">
        <v>10</v>
      </c>
      <c r="EO15" s="24"/>
      <c r="EP15" s="25"/>
      <c r="EQ15" s="26"/>
      <c r="ER15" s="26"/>
      <c r="ES15" s="26"/>
      <c r="EU15" s="30" t="s">
        <v>211</v>
      </c>
      <c r="EV15" s="24"/>
      <c r="EW15" s="25"/>
      <c r="EX15" s="26"/>
      <c r="EY15" s="26"/>
      <c r="EZ15" s="26"/>
      <c r="FB15" s="30" t="s">
        <v>146</v>
      </c>
      <c r="FC15" s="24"/>
      <c r="FD15" s="25"/>
      <c r="FE15" s="26"/>
      <c r="FF15" s="26"/>
      <c r="FG15" s="26"/>
      <c r="FI15" s="30" t="s">
        <v>283</v>
      </c>
      <c r="FJ15" s="24"/>
      <c r="FK15" s="25"/>
      <c r="FL15" s="26"/>
      <c r="FM15" s="26"/>
      <c r="FN15" s="26"/>
      <c r="FQ15" s="30" t="s">
        <v>11</v>
      </c>
      <c r="FR15" s="24"/>
      <c r="FS15" s="25"/>
      <c r="FT15" s="26"/>
      <c r="FU15" s="26"/>
      <c r="FV15" s="26"/>
      <c r="FX15" s="30" t="s">
        <v>12</v>
      </c>
      <c r="FY15" s="24"/>
      <c r="FZ15" s="25"/>
      <c r="GA15" s="26"/>
      <c r="GB15" s="26"/>
      <c r="GC15" s="26"/>
      <c r="GE15" s="30" t="s">
        <v>13</v>
      </c>
      <c r="GF15" s="24"/>
      <c r="GG15" s="25"/>
      <c r="GH15" s="26"/>
      <c r="GI15" s="26"/>
      <c r="GJ15" s="26"/>
      <c r="GL15" s="30" t="s">
        <v>121</v>
      </c>
      <c r="GM15" s="24"/>
      <c r="GN15" s="25"/>
      <c r="GO15" s="26"/>
      <c r="GP15" s="26"/>
      <c r="GQ15" s="26"/>
      <c r="GS15" s="30" t="s">
        <v>14</v>
      </c>
      <c r="GT15" s="24"/>
      <c r="GU15" s="25"/>
      <c r="GV15" s="26"/>
      <c r="GW15" s="26"/>
      <c r="GX15" s="26"/>
      <c r="GZ15" s="30" t="s">
        <v>15</v>
      </c>
      <c r="HA15" s="24"/>
      <c r="HB15" s="25"/>
      <c r="HC15" s="26"/>
      <c r="HD15" s="26"/>
      <c r="HE15" s="26"/>
      <c r="HG15" s="30" t="s">
        <v>16</v>
      </c>
      <c r="HH15" s="24"/>
      <c r="HI15" s="25"/>
      <c r="HJ15" s="26"/>
      <c r="HK15" s="26"/>
      <c r="HL15" s="26"/>
      <c r="HN15" s="30" t="s">
        <v>17</v>
      </c>
      <c r="HO15" s="24"/>
      <c r="HP15" s="25"/>
      <c r="HQ15" s="26"/>
      <c r="HR15" s="26"/>
      <c r="HS15" s="26"/>
      <c r="HU15" s="30" t="s">
        <v>125</v>
      </c>
      <c r="HV15" s="24"/>
      <c r="HW15" s="25"/>
      <c r="HX15" s="26"/>
      <c r="HY15" s="26"/>
      <c r="HZ15" s="26"/>
    </row>
    <row r="16" spans="1:234" ht="18.75">
      <c r="A16" s="245" t="s">
        <v>63</v>
      </c>
      <c r="B16" s="246" t="s">
        <v>0</v>
      </c>
      <c r="C16" s="246" t="s">
        <v>311</v>
      </c>
      <c r="D16" s="246" t="s">
        <v>49</v>
      </c>
      <c r="E16" s="247" t="s">
        <v>61</v>
      </c>
      <c r="F16" s="26"/>
      <c r="G16" s="241" t="str">
        <f>B16</f>
        <v>Keterangan</v>
      </c>
      <c r="H16" s="242" t="str">
        <f>D16</f>
        <v>Debit</v>
      </c>
      <c r="I16" s="242" t="str">
        <f>E16</f>
        <v>Kredit</v>
      </c>
      <c r="M16" s="241" t="str" cm="1">
        <f t="array" ref="M16:Q199">Transaksi2026[#All]</f>
        <v>Tanggal</v>
      </c>
      <c r="N16" s="242" t="str">
        <v>Keterangan</v>
      </c>
      <c r="O16" s="242" t="str">
        <v>Ref</v>
      </c>
      <c r="P16" s="242" t="str">
        <v>Debit</v>
      </c>
      <c r="Q16" s="242" t="str">
        <v>Kredit</v>
      </c>
      <c r="S16" s="242" t="s">
        <v>0</v>
      </c>
      <c r="T16" s="242" t="s">
        <v>49</v>
      </c>
      <c r="U16" s="242" t="s">
        <v>61</v>
      </c>
      <c r="AK16" s="30">
        <v>1101</v>
      </c>
      <c r="AL16" s="24"/>
      <c r="AM16" s="25"/>
      <c r="AN16" s="26"/>
      <c r="AO16" s="26"/>
      <c r="AP16" s="26"/>
      <c r="AR16" s="30">
        <v>1102</v>
      </c>
      <c r="AS16" s="24"/>
      <c r="AT16" s="25"/>
      <c r="AU16" s="26"/>
      <c r="AV16" s="26"/>
      <c r="AW16" s="26"/>
      <c r="AY16" s="30">
        <v>1103</v>
      </c>
      <c r="AZ16" s="24"/>
      <c r="BA16" s="25"/>
      <c r="BB16" s="26"/>
      <c r="BC16" s="26"/>
      <c r="BD16" s="26"/>
      <c r="BF16" s="30">
        <v>1104</v>
      </c>
      <c r="BG16" s="24"/>
      <c r="BH16" s="25"/>
      <c r="BI16" s="26"/>
      <c r="BJ16" s="26"/>
      <c r="BK16" s="26"/>
      <c r="BM16" s="30">
        <v>1105</v>
      </c>
      <c r="BN16" s="24"/>
      <c r="BO16" s="25"/>
      <c r="BP16" s="26"/>
      <c r="BQ16" s="26"/>
      <c r="BR16" s="26"/>
      <c r="BT16" s="30">
        <v>1110</v>
      </c>
      <c r="BU16" s="24"/>
      <c r="BV16" s="25"/>
      <c r="BW16" s="26"/>
      <c r="BX16" s="26"/>
      <c r="BY16" s="26"/>
      <c r="CA16" s="30">
        <v>1107</v>
      </c>
      <c r="CB16" s="24"/>
      <c r="CC16" s="25"/>
      <c r="CD16" s="26"/>
      <c r="CE16" s="26"/>
      <c r="CF16" s="26"/>
      <c r="CI16" s="30">
        <v>1108</v>
      </c>
      <c r="CJ16" s="24"/>
      <c r="CK16" s="25"/>
      <c r="CL16" s="26"/>
      <c r="CM16" s="26"/>
      <c r="CN16" s="26"/>
      <c r="CP16" s="30">
        <v>1109</v>
      </c>
      <c r="CQ16" s="24"/>
      <c r="CR16" s="25"/>
      <c r="CS16" s="26"/>
      <c r="CT16" s="26"/>
      <c r="CU16" s="26"/>
      <c r="CW16" s="30">
        <v>2101</v>
      </c>
      <c r="CX16" s="24"/>
      <c r="CY16" s="25"/>
      <c r="CZ16" s="26"/>
      <c r="DA16" s="26"/>
      <c r="DB16" s="26"/>
      <c r="DD16" s="30">
        <v>2102</v>
      </c>
      <c r="DE16" s="24"/>
      <c r="DF16" s="25"/>
      <c r="DG16" s="26"/>
      <c r="DH16" s="26"/>
      <c r="DI16" s="26"/>
      <c r="DK16" s="30">
        <v>2103</v>
      </c>
      <c r="DL16" s="24"/>
      <c r="DM16" s="25"/>
      <c r="DN16" s="26"/>
      <c r="DO16" s="26"/>
      <c r="DP16" s="26"/>
      <c r="DR16" s="30">
        <v>2105</v>
      </c>
      <c r="DS16" s="24"/>
      <c r="DT16" s="25"/>
      <c r="DU16" s="26"/>
      <c r="DV16" s="26"/>
      <c r="DW16" s="26"/>
      <c r="DZ16" s="30">
        <v>2106</v>
      </c>
      <c r="EA16" s="24"/>
      <c r="EB16" s="25"/>
      <c r="EC16" s="26"/>
      <c r="ED16" s="26"/>
      <c r="EE16" s="26"/>
      <c r="EG16" s="30">
        <v>3101</v>
      </c>
      <c r="EH16" s="24"/>
      <c r="EI16" s="25"/>
      <c r="EJ16" s="26"/>
      <c r="EK16" s="26"/>
      <c r="EL16" s="26"/>
      <c r="EN16" s="30">
        <v>3102</v>
      </c>
      <c r="EO16" s="24"/>
      <c r="EP16" s="25"/>
      <c r="EQ16" s="26"/>
      <c r="ER16" s="26"/>
      <c r="ES16" s="26"/>
      <c r="EU16" s="30">
        <v>4101</v>
      </c>
      <c r="EV16" s="24"/>
      <c r="EW16" s="25"/>
      <c r="EX16" s="26"/>
      <c r="EY16" s="26"/>
      <c r="EZ16" s="26"/>
      <c r="FB16" s="30">
        <v>4103</v>
      </c>
      <c r="FC16" s="24"/>
      <c r="FD16" s="25"/>
      <c r="FE16" s="26"/>
      <c r="FF16" s="26"/>
      <c r="FG16" s="26"/>
      <c r="FI16" s="30">
        <v>4102</v>
      </c>
      <c r="FJ16" s="24"/>
      <c r="FK16" s="25"/>
      <c r="FL16" s="26"/>
      <c r="FM16" s="26"/>
      <c r="FN16" s="26"/>
      <c r="FQ16" s="30">
        <v>5101</v>
      </c>
      <c r="FR16" s="24"/>
      <c r="FS16" s="25"/>
      <c r="FT16" s="26"/>
      <c r="FU16" s="26"/>
      <c r="FV16" s="26"/>
      <c r="FX16" s="30">
        <v>5102</v>
      </c>
      <c r="FY16" s="24"/>
      <c r="FZ16" s="25"/>
      <c r="GA16" s="26"/>
      <c r="GB16" s="26"/>
      <c r="GC16" s="26"/>
      <c r="GE16" s="30">
        <v>5103</v>
      </c>
      <c r="GF16" s="24"/>
      <c r="GG16" s="25"/>
      <c r="GH16" s="26"/>
      <c r="GI16" s="26"/>
      <c r="GJ16" s="26"/>
      <c r="GL16" s="30">
        <v>5104</v>
      </c>
      <c r="GM16" s="24"/>
      <c r="GN16" s="25"/>
      <c r="GO16" s="26"/>
      <c r="GP16" s="26"/>
      <c r="GQ16" s="26"/>
      <c r="GS16" s="30">
        <v>5105</v>
      </c>
      <c r="GT16" s="24"/>
      <c r="GU16" s="25"/>
      <c r="GV16" s="26"/>
      <c r="GW16" s="26"/>
      <c r="GX16" s="26"/>
      <c r="GZ16" s="30">
        <v>5106</v>
      </c>
      <c r="HA16" s="24"/>
      <c r="HB16" s="25"/>
      <c r="HC16" s="26"/>
      <c r="HD16" s="26"/>
      <c r="HE16" s="26"/>
      <c r="HG16" s="30">
        <v>5107</v>
      </c>
      <c r="HH16" s="24"/>
      <c r="HI16" s="25"/>
      <c r="HJ16" s="26"/>
      <c r="HK16" s="26"/>
      <c r="HL16" s="26"/>
      <c r="HN16" s="30">
        <v>5108</v>
      </c>
      <c r="HO16" s="24"/>
      <c r="HP16" s="25"/>
      <c r="HQ16" s="26"/>
      <c r="HR16" s="26"/>
      <c r="HS16" s="26"/>
      <c r="HU16" s="30">
        <v>5109</v>
      </c>
      <c r="HV16" s="24"/>
      <c r="HW16" s="25"/>
      <c r="HX16" s="26"/>
      <c r="HY16" s="26"/>
      <c r="HZ16" s="26"/>
    </row>
    <row r="17" spans="1:234">
      <c r="A17" s="233">
        <v>45659</v>
      </c>
      <c r="B17" s="41" t="s">
        <v>187</v>
      </c>
      <c r="C17" s="41">
        <v>1101</v>
      </c>
      <c r="D17" s="42">
        <v>18000000</v>
      </c>
      <c r="E17" s="56">
        <v>0</v>
      </c>
      <c r="G17" t="str" cm="1">
        <f t="array" ref="G17:I41">_xlfn.CHOOSECOLS(_xlfn.GROUPBY(_xlfn.HSTACK(Transaksi[Ref],TRIM(Transaksi[Keterangan])),Transaksi[[Debit]:[Kredit]],_xleta.SUM),2,3,4)</f>
        <v>Kas</v>
      </c>
      <c r="H17" s="1">
        <v>18382915</v>
      </c>
      <c r="I17" s="1">
        <v>16714415</v>
      </c>
      <c r="K17" s="32"/>
      <c r="M17" s="32">
        <v>46023</v>
      </c>
      <c r="N17" t="str">
        <v>Kas</v>
      </c>
      <c r="O17">
        <v>1101</v>
      </c>
      <c r="P17" s="1">
        <v>11134740.440668393</v>
      </c>
      <c r="Q17" s="1">
        <v>0</v>
      </c>
      <c r="R17" s="1"/>
      <c r="S17" s="1" t="str" cm="1">
        <f t="array" ref="S17:U52">_xlfn.CHOOSECOLS(_xlfn.GROUPBY(_xlfn.HSTACK(Transaksi2026[Ref],TRIM(Transaksi2026[Keterangan])),Transaksi2026[[Debit]:[Kredit]],_xleta.SUM),2,3,4)</f>
        <v>Kas</v>
      </c>
      <c r="T17" s="1">
        <v>31295740.440668393</v>
      </c>
      <c r="U17" s="1">
        <v>21463725.181301292</v>
      </c>
      <c r="AK17" s="24"/>
      <c r="AL17" s="24"/>
      <c r="AM17" s="25"/>
      <c r="AN17" s="26"/>
      <c r="AO17" s="26"/>
      <c r="AP17" s="26"/>
      <c r="AR17" s="24"/>
      <c r="AS17" s="24"/>
      <c r="AT17" s="25"/>
      <c r="AU17" s="26"/>
      <c r="AV17" s="26"/>
      <c r="AW17" s="26"/>
      <c r="AY17" s="24"/>
      <c r="AZ17" s="24"/>
      <c r="BA17" s="25"/>
      <c r="BB17" s="26"/>
      <c r="BC17" s="26"/>
      <c r="BD17" s="26"/>
      <c r="BF17" s="24"/>
      <c r="BG17" s="24"/>
      <c r="BH17" s="25"/>
      <c r="BI17" s="26"/>
      <c r="BJ17" s="26"/>
      <c r="BK17" s="26"/>
      <c r="BM17" s="24"/>
      <c r="BN17" s="24"/>
      <c r="BO17" s="25"/>
      <c r="BP17" s="26"/>
      <c r="BQ17" s="26"/>
      <c r="BR17" s="26"/>
      <c r="BT17" s="24"/>
      <c r="BU17" s="24"/>
      <c r="BV17" s="25"/>
      <c r="BW17" s="26"/>
      <c r="BX17" s="26"/>
      <c r="BY17" s="26"/>
      <c r="CA17" s="24"/>
      <c r="CB17" s="24"/>
      <c r="CC17" s="25"/>
      <c r="CD17" s="26"/>
      <c r="CE17" s="26"/>
      <c r="CF17" s="26"/>
      <c r="CI17" s="24"/>
      <c r="CJ17" s="24"/>
      <c r="CK17" s="25"/>
      <c r="CL17" s="26"/>
      <c r="CM17" s="26"/>
      <c r="CN17" s="26"/>
      <c r="CP17" s="24"/>
      <c r="CQ17" s="24"/>
      <c r="CR17" s="25"/>
      <c r="CS17" s="26"/>
      <c r="CT17" s="26"/>
      <c r="CU17" s="26"/>
      <c r="CW17" s="24"/>
      <c r="CX17" s="24"/>
      <c r="CY17" s="25"/>
      <c r="CZ17" s="26"/>
      <c r="DA17" s="26"/>
      <c r="DB17" s="26"/>
      <c r="DD17" s="24"/>
      <c r="DE17" s="24"/>
      <c r="DF17" s="25"/>
      <c r="DG17" s="26"/>
      <c r="DH17" s="26"/>
      <c r="DI17" s="26"/>
      <c r="DK17" s="24"/>
      <c r="DL17" s="24"/>
      <c r="DM17" s="25"/>
      <c r="DN17" s="26"/>
      <c r="DO17" s="26"/>
      <c r="DP17" s="26"/>
      <c r="DR17" s="24"/>
      <c r="DS17" s="24"/>
      <c r="DT17" s="25"/>
      <c r="DU17" s="26"/>
      <c r="DV17" s="26"/>
      <c r="DW17" s="26"/>
      <c r="DZ17" s="24"/>
      <c r="EA17" s="24"/>
      <c r="EB17" s="25"/>
      <c r="EC17" s="26"/>
      <c r="ED17" s="26"/>
      <c r="EE17" s="26"/>
      <c r="EG17" s="24"/>
      <c r="EH17" s="24"/>
      <c r="EI17" s="25"/>
      <c r="EJ17" s="26"/>
      <c r="EK17" s="26"/>
      <c r="EL17" s="26"/>
      <c r="EN17" s="24"/>
      <c r="EO17" s="24"/>
      <c r="EP17" s="25"/>
      <c r="EQ17" s="26"/>
      <c r="ER17" s="26"/>
      <c r="ES17" s="26"/>
      <c r="EU17" s="24"/>
      <c r="EV17" s="24"/>
      <c r="EW17" s="25"/>
      <c r="EX17" s="26"/>
      <c r="EY17" s="26"/>
      <c r="EZ17" s="26"/>
      <c r="FB17" s="24"/>
      <c r="FC17" s="24"/>
      <c r="FD17" s="25"/>
      <c r="FE17" s="26"/>
      <c r="FF17" s="26"/>
      <c r="FG17" s="26"/>
      <c r="FI17" s="24"/>
      <c r="FJ17" s="24"/>
      <c r="FK17" s="25"/>
      <c r="FL17" s="26"/>
      <c r="FM17" s="26"/>
      <c r="FN17" s="26"/>
      <c r="FQ17" s="24"/>
      <c r="FR17" s="24"/>
      <c r="FS17" s="25"/>
      <c r="FT17" s="26"/>
      <c r="FU17" s="26"/>
      <c r="FV17" s="26"/>
      <c r="FX17" s="24"/>
      <c r="FY17" s="24"/>
      <c r="FZ17" s="25"/>
      <c r="GA17" s="26"/>
      <c r="GB17" s="26"/>
      <c r="GC17" s="26"/>
      <c r="GE17" s="24"/>
      <c r="GF17" s="24"/>
      <c r="GG17" s="25"/>
      <c r="GH17" s="26"/>
      <c r="GI17" s="26"/>
      <c r="GJ17" s="26"/>
      <c r="GL17" s="24"/>
      <c r="GM17" s="24"/>
      <c r="GN17" s="25"/>
      <c r="GO17" s="26"/>
      <c r="GP17" s="26"/>
      <c r="GQ17" s="26"/>
      <c r="GS17" s="24"/>
      <c r="GT17" s="24"/>
      <c r="GU17" s="25"/>
      <c r="GV17" s="26"/>
      <c r="GW17" s="26"/>
      <c r="GX17" s="26"/>
      <c r="GZ17" s="24"/>
      <c r="HA17" s="24"/>
      <c r="HB17" s="25"/>
      <c r="HC17" s="26"/>
      <c r="HD17" s="26"/>
      <c r="HE17" s="26"/>
      <c r="HG17" s="24"/>
      <c r="HH17" s="24"/>
      <c r="HI17" s="25"/>
      <c r="HJ17" s="26"/>
      <c r="HK17" s="26"/>
      <c r="HL17" s="26"/>
      <c r="HN17" s="24"/>
      <c r="HO17" s="24"/>
      <c r="HP17" s="25"/>
      <c r="HQ17" s="26"/>
      <c r="HR17" s="26"/>
      <c r="HS17" s="26"/>
      <c r="HU17" s="24"/>
      <c r="HV17" s="24"/>
      <c r="HW17" s="25"/>
      <c r="HX17" s="26"/>
      <c r="HY17" s="26"/>
      <c r="HZ17" s="26"/>
    </row>
    <row r="18" spans="1:234" ht="15.75" thickBot="1">
      <c r="A18" s="233">
        <v>45659</v>
      </c>
      <c r="B18" s="41" t="s">
        <v>65</v>
      </c>
      <c r="C18" s="41">
        <v>3101</v>
      </c>
      <c r="D18" s="42">
        <v>0</v>
      </c>
      <c r="E18" s="56">
        <v>18000000</v>
      </c>
      <c r="G18" t="str">
        <v>Piutang Usaha</v>
      </c>
      <c r="H18" s="1">
        <v>36681288.054545455</v>
      </c>
      <c r="I18" s="1">
        <v>2497194.666666667</v>
      </c>
      <c r="K18" s="32"/>
      <c r="M18" s="32">
        <v>46023</v>
      </c>
      <c r="N18" t="str">
        <v xml:space="preserve">   Premi Obligasi</v>
      </c>
      <c r="O18">
        <v>2106</v>
      </c>
      <c r="P18" s="1">
        <v>0</v>
      </c>
      <c r="Q18" s="1">
        <v>1134740.4406683929</v>
      </c>
      <c r="R18" s="1"/>
      <c r="S18" s="1" t="str">
        <v>Piutang Usaha</v>
      </c>
      <c r="T18" s="1">
        <v>58369749.600000001</v>
      </c>
      <c r="U18" s="1">
        <v>20151812</v>
      </c>
      <c r="AK18" s="162" t="s">
        <v>46</v>
      </c>
      <c r="AL18" s="163" t="s">
        <v>47</v>
      </c>
      <c r="AM18" s="163" t="s">
        <v>48</v>
      </c>
      <c r="AN18" s="163" t="s">
        <v>49</v>
      </c>
      <c r="AO18" s="163" t="s">
        <v>50</v>
      </c>
      <c r="AP18" s="164" t="s">
        <v>51</v>
      </c>
      <c r="AR18" s="162" t="s">
        <v>46</v>
      </c>
      <c r="AS18" s="163" t="s">
        <v>47</v>
      </c>
      <c r="AT18" s="163" t="s">
        <v>48</v>
      </c>
      <c r="AU18" s="163" t="s">
        <v>49</v>
      </c>
      <c r="AV18" s="163" t="s">
        <v>50</v>
      </c>
      <c r="AW18" s="164" t="s">
        <v>51</v>
      </c>
      <c r="AY18" s="162" t="s">
        <v>46</v>
      </c>
      <c r="AZ18" s="163" t="s">
        <v>47</v>
      </c>
      <c r="BA18" s="163" t="s">
        <v>48</v>
      </c>
      <c r="BB18" s="163" t="s">
        <v>49</v>
      </c>
      <c r="BC18" s="163" t="s">
        <v>50</v>
      </c>
      <c r="BD18" s="164" t="s">
        <v>51</v>
      </c>
      <c r="BF18" s="162" t="s">
        <v>46</v>
      </c>
      <c r="BG18" s="163" t="s">
        <v>47</v>
      </c>
      <c r="BH18" s="163" t="s">
        <v>48</v>
      </c>
      <c r="BI18" s="163" t="s">
        <v>49</v>
      </c>
      <c r="BJ18" s="163" t="s">
        <v>50</v>
      </c>
      <c r="BK18" s="164" t="s">
        <v>51</v>
      </c>
      <c r="BM18" s="162" t="s">
        <v>46</v>
      </c>
      <c r="BN18" s="163" t="s">
        <v>47</v>
      </c>
      <c r="BO18" s="163" t="s">
        <v>48</v>
      </c>
      <c r="BP18" s="163" t="s">
        <v>49</v>
      </c>
      <c r="BQ18" s="163" t="s">
        <v>50</v>
      </c>
      <c r="BR18" s="164" t="s">
        <v>51</v>
      </c>
      <c r="BT18" s="162" t="s">
        <v>46</v>
      </c>
      <c r="BU18" s="163" t="s">
        <v>47</v>
      </c>
      <c r="BV18" s="163" t="s">
        <v>48</v>
      </c>
      <c r="BW18" s="163" t="s">
        <v>49</v>
      </c>
      <c r="BX18" s="163" t="s">
        <v>50</v>
      </c>
      <c r="BY18" s="164" t="s">
        <v>51</v>
      </c>
      <c r="CA18" s="162" t="s">
        <v>46</v>
      </c>
      <c r="CB18" s="163" t="s">
        <v>47</v>
      </c>
      <c r="CC18" s="163" t="s">
        <v>48</v>
      </c>
      <c r="CD18" s="163" t="s">
        <v>49</v>
      </c>
      <c r="CE18" s="163" t="s">
        <v>50</v>
      </c>
      <c r="CF18" s="164" t="s">
        <v>51</v>
      </c>
      <c r="CI18" s="162" t="s">
        <v>46</v>
      </c>
      <c r="CJ18" s="163" t="s">
        <v>47</v>
      </c>
      <c r="CK18" s="163" t="s">
        <v>48</v>
      </c>
      <c r="CL18" s="163" t="s">
        <v>49</v>
      </c>
      <c r="CM18" s="163" t="s">
        <v>50</v>
      </c>
      <c r="CN18" s="164" t="s">
        <v>51</v>
      </c>
      <c r="CP18" s="162" t="s">
        <v>46</v>
      </c>
      <c r="CQ18" s="163" t="s">
        <v>47</v>
      </c>
      <c r="CR18" s="163" t="s">
        <v>48</v>
      </c>
      <c r="CS18" s="163" t="s">
        <v>49</v>
      </c>
      <c r="CT18" s="163" t="s">
        <v>50</v>
      </c>
      <c r="CU18" s="164" t="s">
        <v>51</v>
      </c>
      <c r="CW18" s="162" t="s">
        <v>46</v>
      </c>
      <c r="CX18" s="163" t="s">
        <v>47</v>
      </c>
      <c r="CY18" s="163" t="s">
        <v>48</v>
      </c>
      <c r="CZ18" s="163" t="s">
        <v>49</v>
      </c>
      <c r="DA18" s="163" t="s">
        <v>50</v>
      </c>
      <c r="DB18" s="180" t="s">
        <v>51</v>
      </c>
      <c r="DD18" s="162" t="s">
        <v>46</v>
      </c>
      <c r="DE18" s="163" t="s">
        <v>47</v>
      </c>
      <c r="DF18" s="163" t="s">
        <v>48</v>
      </c>
      <c r="DG18" s="163" t="s">
        <v>49</v>
      </c>
      <c r="DH18" s="163" t="s">
        <v>50</v>
      </c>
      <c r="DI18" s="164" t="s">
        <v>51</v>
      </c>
      <c r="DK18" s="162" t="s">
        <v>46</v>
      </c>
      <c r="DL18" s="163" t="s">
        <v>47</v>
      </c>
      <c r="DM18" s="163" t="s">
        <v>48</v>
      </c>
      <c r="DN18" s="163" t="s">
        <v>49</v>
      </c>
      <c r="DO18" s="163" t="s">
        <v>50</v>
      </c>
      <c r="DP18" s="164" t="s">
        <v>51</v>
      </c>
      <c r="DR18" s="162" t="s">
        <v>46</v>
      </c>
      <c r="DS18" s="163" t="s">
        <v>47</v>
      </c>
      <c r="DT18" s="163" t="s">
        <v>48</v>
      </c>
      <c r="DU18" s="163" t="s">
        <v>49</v>
      </c>
      <c r="DV18" s="163" t="s">
        <v>50</v>
      </c>
      <c r="DW18" s="164" t="s">
        <v>51</v>
      </c>
      <c r="DZ18" s="162" t="s">
        <v>46</v>
      </c>
      <c r="EA18" s="163" t="s">
        <v>47</v>
      </c>
      <c r="EB18" s="163" t="s">
        <v>48</v>
      </c>
      <c r="EC18" s="163" t="s">
        <v>49</v>
      </c>
      <c r="ED18" s="163" t="s">
        <v>50</v>
      </c>
      <c r="EE18" s="164" t="s">
        <v>51</v>
      </c>
      <c r="EG18" s="162" t="s">
        <v>46</v>
      </c>
      <c r="EH18" s="163" t="s">
        <v>47</v>
      </c>
      <c r="EI18" s="163" t="s">
        <v>48</v>
      </c>
      <c r="EJ18" s="163" t="s">
        <v>49</v>
      </c>
      <c r="EK18" s="163" t="s">
        <v>50</v>
      </c>
      <c r="EL18" s="164" t="s">
        <v>51</v>
      </c>
      <c r="EN18" s="162" t="s">
        <v>46</v>
      </c>
      <c r="EO18" s="163" t="s">
        <v>47</v>
      </c>
      <c r="EP18" s="163" t="s">
        <v>48</v>
      </c>
      <c r="EQ18" s="163" t="s">
        <v>49</v>
      </c>
      <c r="ER18" s="163" t="s">
        <v>50</v>
      </c>
      <c r="ES18" s="164" t="s">
        <v>51</v>
      </c>
      <c r="EU18" s="162" t="s">
        <v>46</v>
      </c>
      <c r="EV18" s="163" t="s">
        <v>47</v>
      </c>
      <c r="EW18" s="163" t="s">
        <v>48</v>
      </c>
      <c r="EX18" s="163" t="s">
        <v>49</v>
      </c>
      <c r="EY18" s="163" t="s">
        <v>50</v>
      </c>
      <c r="EZ18" s="164" t="s">
        <v>51</v>
      </c>
      <c r="FB18" s="162" t="s">
        <v>46</v>
      </c>
      <c r="FC18" s="163" t="s">
        <v>47</v>
      </c>
      <c r="FD18" s="163" t="s">
        <v>48</v>
      </c>
      <c r="FE18" s="163" t="s">
        <v>49</v>
      </c>
      <c r="FF18" s="163" t="s">
        <v>50</v>
      </c>
      <c r="FG18" s="164" t="s">
        <v>51</v>
      </c>
      <c r="FI18" s="162" t="s">
        <v>46</v>
      </c>
      <c r="FJ18" s="163" t="s">
        <v>47</v>
      </c>
      <c r="FK18" s="163" t="s">
        <v>48</v>
      </c>
      <c r="FL18" s="163" t="s">
        <v>49</v>
      </c>
      <c r="FM18" s="163" t="s">
        <v>50</v>
      </c>
      <c r="FN18" s="164" t="s">
        <v>51</v>
      </c>
      <c r="FQ18" s="162" t="s">
        <v>46</v>
      </c>
      <c r="FR18" s="163" t="s">
        <v>47</v>
      </c>
      <c r="FS18" s="163" t="s">
        <v>48</v>
      </c>
      <c r="FT18" s="163" t="s">
        <v>49</v>
      </c>
      <c r="FU18" s="163" t="s">
        <v>50</v>
      </c>
      <c r="FV18" s="164" t="s">
        <v>51</v>
      </c>
      <c r="FX18" s="162" t="s">
        <v>46</v>
      </c>
      <c r="FY18" s="163" t="s">
        <v>47</v>
      </c>
      <c r="FZ18" s="163" t="s">
        <v>48</v>
      </c>
      <c r="GA18" s="163" t="s">
        <v>49</v>
      </c>
      <c r="GB18" s="163" t="s">
        <v>50</v>
      </c>
      <c r="GC18" s="164" t="s">
        <v>51</v>
      </c>
      <c r="GE18" s="162" t="s">
        <v>46</v>
      </c>
      <c r="GF18" s="163" t="s">
        <v>47</v>
      </c>
      <c r="GG18" s="163" t="s">
        <v>48</v>
      </c>
      <c r="GH18" s="163" t="s">
        <v>49</v>
      </c>
      <c r="GI18" s="163" t="s">
        <v>50</v>
      </c>
      <c r="GJ18" s="164" t="s">
        <v>51</v>
      </c>
      <c r="GL18" s="162" t="s">
        <v>46</v>
      </c>
      <c r="GM18" s="163" t="s">
        <v>47</v>
      </c>
      <c r="GN18" s="163" t="s">
        <v>48</v>
      </c>
      <c r="GO18" s="163" t="s">
        <v>49</v>
      </c>
      <c r="GP18" s="163" t="s">
        <v>50</v>
      </c>
      <c r="GQ18" s="164" t="s">
        <v>51</v>
      </c>
      <c r="GS18" s="162" t="s">
        <v>46</v>
      </c>
      <c r="GT18" s="163" t="s">
        <v>47</v>
      </c>
      <c r="GU18" s="163" t="s">
        <v>48</v>
      </c>
      <c r="GV18" s="163" t="s">
        <v>49</v>
      </c>
      <c r="GW18" s="163" t="s">
        <v>50</v>
      </c>
      <c r="GX18" s="164" t="s">
        <v>51</v>
      </c>
      <c r="GZ18" s="162" t="s">
        <v>46</v>
      </c>
      <c r="HA18" s="163" t="s">
        <v>47</v>
      </c>
      <c r="HB18" s="163" t="s">
        <v>48</v>
      </c>
      <c r="HC18" s="163" t="s">
        <v>49</v>
      </c>
      <c r="HD18" s="163" t="s">
        <v>50</v>
      </c>
      <c r="HE18" s="164" t="s">
        <v>51</v>
      </c>
      <c r="HG18" s="162" t="s">
        <v>46</v>
      </c>
      <c r="HH18" s="163" t="s">
        <v>47</v>
      </c>
      <c r="HI18" s="163" t="s">
        <v>48</v>
      </c>
      <c r="HJ18" s="163" t="s">
        <v>49</v>
      </c>
      <c r="HK18" s="163" t="s">
        <v>50</v>
      </c>
      <c r="HL18" s="164" t="s">
        <v>51</v>
      </c>
      <c r="HN18" s="162" t="s">
        <v>46</v>
      </c>
      <c r="HO18" s="163" t="s">
        <v>47</v>
      </c>
      <c r="HP18" s="163" t="s">
        <v>48</v>
      </c>
      <c r="HQ18" s="163" t="s">
        <v>49</v>
      </c>
      <c r="HR18" s="163" t="s">
        <v>50</v>
      </c>
      <c r="HS18" s="164" t="s">
        <v>51</v>
      </c>
      <c r="HU18" s="162" t="s">
        <v>46</v>
      </c>
      <c r="HV18" s="163" t="s">
        <v>47</v>
      </c>
      <c r="HW18" s="163" t="s">
        <v>48</v>
      </c>
      <c r="HX18" s="163" t="s">
        <v>49</v>
      </c>
      <c r="HY18" s="163" t="s">
        <v>50</v>
      </c>
      <c r="HZ18" s="164" t="s">
        <v>51</v>
      </c>
    </row>
    <row r="19" spans="1:234">
      <c r="A19" s="233">
        <v>45667</v>
      </c>
      <c r="B19" s="41" t="s">
        <v>69</v>
      </c>
      <c r="C19" s="41">
        <v>1109</v>
      </c>
      <c r="D19" s="42">
        <v>1500000</v>
      </c>
      <c r="E19" s="56">
        <v>0</v>
      </c>
      <c r="G19" t="str">
        <v>Persediaan Bahan Baku</v>
      </c>
      <c r="H19" s="1">
        <v>19060944.444444444</v>
      </c>
      <c r="I19" s="1">
        <v>15275040.01301188</v>
      </c>
      <c r="K19" s="32"/>
      <c r="M19" s="32">
        <v>46023</v>
      </c>
      <c r="N19" t="str">
        <v xml:space="preserve">   Utang Obligasi</v>
      </c>
      <c r="O19">
        <v>2105</v>
      </c>
      <c r="P19" s="1">
        <v>0</v>
      </c>
      <c r="Q19" s="1">
        <v>10000000</v>
      </c>
      <c r="R19" s="1"/>
      <c r="S19" s="1" t="str">
        <v>Persediaan Bahan Baku</v>
      </c>
      <c r="T19" s="1">
        <v>25894982.299498744</v>
      </c>
      <c r="U19" s="1">
        <v>25238142.700501256</v>
      </c>
      <c r="AK19" s="158"/>
      <c r="AL19" s="155" t="s">
        <v>52</v>
      </c>
      <c r="AM19" s="156" t="s">
        <v>56</v>
      </c>
      <c r="AN19" s="156"/>
      <c r="AO19" s="156"/>
      <c r="AP19" s="171">
        <v>0</v>
      </c>
      <c r="AR19" s="158"/>
      <c r="AS19" s="155" t="s">
        <v>52</v>
      </c>
      <c r="AT19" s="156" t="s">
        <v>56</v>
      </c>
      <c r="AU19" s="156"/>
      <c r="AV19" s="156"/>
      <c r="AW19" s="160"/>
      <c r="AY19" s="158"/>
      <c r="AZ19" s="155" t="s">
        <v>52</v>
      </c>
      <c r="BA19" s="156" t="s">
        <v>56</v>
      </c>
      <c r="BB19" s="170"/>
      <c r="BC19" s="170"/>
      <c r="BD19" s="171">
        <v>0</v>
      </c>
      <c r="BF19" s="158"/>
      <c r="BG19" s="155" t="s">
        <v>52</v>
      </c>
      <c r="BH19" s="156" t="s">
        <v>56</v>
      </c>
      <c r="BI19" s="170"/>
      <c r="BJ19" s="170"/>
      <c r="BK19" s="171">
        <v>0</v>
      </c>
      <c r="BM19" s="158"/>
      <c r="BN19" s="155" t="s">
        <v>52</v>
      </c>
      <c r="BO19" s="156" t="s">
        <v>56</v>
      </c>
      <c r="BP19" s="170"/>
      <c r="BQ19" s="170"/>
      <c r="BR19" s="171">
        <v>0</v>
      </c>
      <c r="BT19" s="158"/>
      <c r="BU19" s="155" t="s">
        <v>52</v>
      </c>
      <c r="BV19" s="156" t="s">
        <v>56</v>
      </c>
      <c r="BW19" s="170"/>
      <c r="BX19" s="170"/>
      <c r="BY19" s="171">
        <v>0</v>
      </c>
      <c r="CA19" s="158"/>
      <c r="CB19" s="155" t="s">
        <v>52</v>
      </c>
      <c r="CC19" s="156" t="s">
        <v>56</v>
      </c>
      <c r="CD19" s="156"/>
      <c r="CE19" s="156"/>
      <c r="CF19" s="171">
        <v>0</v>
      </c>
      <c r="CI19" s="158"/>
      <c r="CJ19" s="155" t="s">
        <v>52</v>
      </c>
      <c r="CK19" s="156" t="s">
        <v>56</v>
      </c>
      <c r="CL19" s="156"/>
      <c r="CM19" s="156"/>
      <c r="CN19" s="171">
        <v>0</v>
      </c>
      <c r="CP19" s="158"/>
      <c r="CQ19" s="155" t="s">
        <v>52</v>
      </c>
      <c r="CR19" s="156" t="s">
        <v>56</v>
      </c>
      <c r="CS19" s="156"/>
      <c r="CT19" s="156"/>
      <c r="CU19" s="160"/>
      <c r="CW19" s="158"/>
      <c r="CX19" s="155" t="s">
        <v>52</v>
      </c>
      <c r="CY19" s="156" t="s">
        <v>56</v>
      </c>
      <c r="CZ19" s="170"/>
      <c r="DA19" s="170"/>
      <c r="DB19" s="171">
        <v>0</v>
      </c>
      <c r="DD19" s="158"/>
      <c r="DE19" s="155" t="s">
        <v>52</v>
      </c>
      <c r="DF19" s="156" t="s">
        <v>56</v>
      </c>
      <c r="DG19" s="170"/>
      <c r="DH19" s="170"/>
      <c r="DI19" s="171">
        <v>0</v>
      </c>
      <c r="DK19" s="158"/>
      <c r="DL19" s="155" t="s">
        <v>52</v>
      </c>
      <c r="DM19" s="156" t="s">
        <v>56</v>
      </c>
      <c r="DN19" s="170"/>
      <c r="DO19" s="170"/>
      <c r="DP19" s="171">
        <v>0</v>
      </c>
      <c r="DR19" s="158"/>
      <c r="DS19" s="155" t="s">
        <v>52</v>
      </c>
      <c r="DT19" s="156" t="s">
        <v>56</v>
      </c>
      <c r="DU19" s="170"/>
      <c r="DV19" s="170"/>
      <c r="DW19" s="171">
        <v>0</v>
      </c>
      <c r="DZ19" s="158"/>
      <c r="EA19" s="155" t="s">
        <v>52</v>
      </c>
      <c r="EB19" s="156" t="s">
        <v>56</v>
      </c>
      <c r="EC19" s="170"/>
      <c r="ED19" s="170"/>
      <c r="EE19" s="171">
        <v>0</v>
      </c>
      <c r="EG19" s="158"/>
      <c r="EH19" s="155" t="s">
        <v>52</v>
      </c>
      <c r="EI19" s="156" t="s">
        <v>56</v>
      </c>
      <c r="EJ19" s="156"/>
      <c r="EK19" s="156"/>
      <c r="EL19" s="171">
        <v>0</v>
      </c>
      <c r="EN19" s="158"/>
      <c r="EO19" s="155" t="s">
        <v>52</v>
      </c>
      <c r="EP19" s="156" t="s">
        <v>56</v>
      </c>
      <c r="EQ19" s="156"/>
      <c r="ER19" s="156"/>
      <c r="ES19" s="160"/>
      <c r="EU19" s="158"/>
      <c r="EV19" s="155" t="s">
        <v>52</v>
      </c>
      <c r="EW19" s="156" t="s">
        <v>56</v>
      </c>
      <c r="EX19" s="170"/>
      <c r="EY19" s="170"/>
      <c r="EZ19" s="171">
        <v>0</v>
      </c>
      <c r="FB19" s="158"/>
      <c r="FC19" s="155" t="s">
        <v>52</v>
      </c>
      <c r="FD19" s="156" t="s">
        <v>56</v>
      </c>
      <c r="FE19" s="170"/>
      <c r="FF19" s="170"/>
      <c r="FG19" s="171">
        <v>0</v>
      </c>
      <c r="FI19" s="158"/>
      <c r="FJ19" s="155" t="s">
        <v>52</v>
      </c>
      <c r="FK19" s="156" t="s">
        <v>56</v>
      </c>
      <c r="FL19" s="170"/>
      <c r="FM19" s="170"/>
      <c r="FN19" s="171">
        <v>0</v>
      </c>
      <c r="FQ19" s="158"/>
      <c r="FR19" s="155" t="s">
        <v>52</v>
      </c>
      <c r="FS19" s="156" t="s">
        <v>56</v>
      </c>
      <c r="FT19" s="156"/>
      <c r="FU19" s="156"/>
      <c r="FV19" s="160"/>
      <c r="FX19" s="158"/>
      <c r="FY19" s="155" t="s">
        <v>52</v>
      </c>
      <c r="FZ19" s="156" t="s">
        <v>56</v>
      </c>
      <c r="GA19" s="156"/>
      <c r="GB19" s="156"/>
      <c r="GC19" s="171">
        <v>0</v>
      </c>
      <c r="GE19" s="158"/>
      <c r="GF19" s="155" t="s">
        <v>52</v>
      </c>
      <c r="GG19" s="156" t="s">
        <v>56</v>
      </c>
      <c r="GH19" s="156"/>
      <c r="GI19" s="156"/>
      <c r="GJ19" s="160"/>
      <c r="GL19" s="158"/>
      <c r="GM19" s="155" t="s">
        <v>52</v>
      </c>
      <c r="GN19" s="156" t="s">
        <v>56</v>
      </c>
      <c r="GO19" s="156"/>
      <c r="GP19" s="156"/>
      <c r="GQ19" s="171">
        <v>0</v>
      </c>
      <c r="GS19" s="158"/>
      <c r="GT19" s="155" t="s">
        <v>52</v>
      </c>
      <c r="GU19" s="156" t="s">
        <v>56</v>
      </c>
      <c r="GV19" s="156"/>
      <c r="GW19" s="156"/>
      <c r="GX19" s="160"/>
      <c r="GZ19" s="158"/>
      <c r="HA19" s="155" t="s">
        <v>52</v>
      </c>
      <c r="HB19" s="156" t="s">
        <v>56</v>
      </c>
      <c r="HC19" s="156"/>
      <c r="HD19" s="156"/>
      <c r="HE19" s="160"/>
      <c r="HG19" s="158"/>
      <c r="HH19" s="155" t="s">
        <v>52</v>
      </c>
      <c r="HI19" s="156" t="s">
        <v>56</v>
      </c>
      <c r="HJ19" s="156"/>
      <c r="HK19" s="156"/>
      <c r="HL19" s="160"/>
      <c r="HN19" s="158"/>
      <c r="HO19" s="155" t="s">
        <v>52</v>
      </c>
      <c r="HP19" s="156" t="s">
        <v>56</v>
      </c>
      <c r="HQ19" s="156"/>
      <c r="HR19" s="156"/>
      <c r="HS19" s="160"/>
      <c r="HU19" s="158"/>
      <c r="HV19" s="155" t="s">
        <v>52</v>
      </c>
      <c r="HW19" s="156" t="s">
        <v>56</v>
      </c>
      <c r="HX19" s="170"/>
      <c r="HY19" s="170"/>
      <c r="HZ19" s="171">
        <v>0</v>
      </c>
    </row>
    <row r="20" spans="1:234">
      <c r="A20" s="233">
        <v>45667</v>
      </c>
      <c r="B20" s="41" t="s">
        <v>398</v>
      </c>
      <c r="C20" s="41">
        <v>1101</v>
      </c>
      <c r="D20" s="42">
        <v>0</v>
      </c>
      <c r="E20" s="56">
        <v>1500000</v>
      </c>
      <c r="G20" t="str">
        <v>Diskon Pembelian</v>
      </c>
      <c r="H20" s="1">
        <v>0</v>
      </c>
      <c r="I20" s="1">
        <v>396315</v>
      </c>
      <c r="K20" s="32"/>
      <c r="M20" s="32">
        <v>46023</v>
      </c>
      <c r="N20" t="str">
        <v>Investasi Obligasi</v>
      </c>
      <c r="O20">
        <v>1116</v>
      </c>
      <c r="P20" s="1">
        <v>9308482.8922287412</v>
      </c>
      <c r="Q20" s="1">
        <v>0</v>
      </c>
      <c r="R20" s="1"/>
      <c r="S20" s="1" t="str">
        <v>Diskon Pembelian</v>
      </c>
      <c r="T20" s="1">
        <v>0</v>
      </c>
      <c r="U20" s="1">
        <v>14900</v>
      </c>
      <c r="AK20" s="159">
        <v>45659</v>
      </c>
      <c r="AL20" s="155" t="s">
        <v>312</v>
      </c>
      <c r="AM20" s="181" t="s">
        <v>313</v>
      </c>
      <c r="AN20" s="170">
        <v>18000000</v>
      </c>
      <c r="AO20" s="174"/>
      <c r="AP20" s="173">
        <v>18000000</v>
      </c>
      <c r="AR20" s="159"/>
      <c r="AS20" s="155"/>
      <c r="AT20" s="156"/>
      <c r="AU20" s="156"/>
      <c r="AV20" s="157"/>
      <c r="AW20" s="161"/>
      <c r="AY20" s="159">
        <v>45682</v>
      </c>
      <c r="AZ20" s="155" t="s">
        <v>312</v>
      </c>
      <c r="BA20" s="156" t="s">
        <v>135</v>
      </c>
      <c r="BB20" s="170">
        <v>3771780</v>
      </c>
      <c r="BC20" s="170"/>
      <c r="BD20" s="171">
        <v>3771780</v>
      </c>
      <c r="BF20" s="159">
        <v>45677</v>
      </c>
      <c r="BG20" s="155" t="s">
        <v>312</v>
      </c>
      <c r="BH20" s="156" t="s">
        <v>315</v>
      </c>
      <c r="BI20" s="170">
        <v>1360000</v>
      </c>
      <c r="BJ20" s="170"/>
      <c r="BK20" s="171">
        <v>1360000</v>
      </c>
      <c r="BM20" s="159">
        <v>45683</v>
      </c>
      <c r="BN20" s="155" t="s">
        <v>312</v>
      </c>
      <c r="BO20" s="156" t="s">
        <v>326</v>
      </c>
      <c r="BP20" s="170"/>
      <c r="BQ20" s="170">
        <v>2812000</v>
      </c>
      <c r="BR20" s="171">
        <v>2812000</v>
      </c>
      <c r="BT20" s="159">
        <v>45700</v>
      </c>
      <c r="BU20" s="155" t="s">
        <v>312</v>
      </c>
      <c r="BV20" s="156" t="s">
        <v>187</v>
      </c>
      <c r="BW20" s="170"/>
      <c r="BX20" s="170">
        <v>163415</v>
      </c>
      <c r="BY20" s="171">
        <v>163415</v>
      </c>
      <c r="CA20" s="159">
        <v>45668</v>
      </c>
      <c r="CB20" s="155" t="s">
        <v>312</v>
      </c>
      <c r="CC20" s="156" t="s">
        <v>317</v>
      </c>
      <c r="CD20" s="170">
        <v>1000000</v>
      </c>
      <c r="CE20" s="170"/>
      <c r="CF20" s="173">
        <v>1000000</v>
      </c>
      <c r="CI20" s="159">
        <v>45667</v>
      </c>
      <c r="CJ20" s="155" t="s">
        <v>312</v>
      </c>
      <c r="CK20" s="156" t="s">
        <v>315</v>
      </c>
      <c r="CL20" s="170">
        <v>1500000</v>
      </c>
      <c r="CM20" s="170"/>
      <c r="CN20" s="173">
        <v>1500000</v>
      </c>
      <c r="CP20" s="159"/>
      <c r="CQ20" s="155"/>
      <c r="CR20" s="156"/>
      <c r="CS20" s="156"/>
      <c r="CT20" s="157"/>
      <c r="CU20" s="161"/>
      <c r="CW20" s="159">
        <v>45786</v>
      </c>
      <c r="CX20" s="155" t="s">
        <v>312</v>
      </c>
      <c r="CY20" s="155" t="s">
        <v>315</v>
      </c>
      <c r="CZ20" s="170"/>
      <c r="DA20" s="170">
        <v>1630100</v>
      </c>
      <c r="DB20" s="171">
        <v>1630100</v>
      </c>
      <c r="DD20" s="159">
        <v>45676</v>
      </c>
      <c r="DE20" s="155" t="s">
        <v>312</v>
      </c>
      <c r="DF20" s="156" t="s">
        <v>321</v>
      </c>
      <c r="DG20" s="170"/>
      <c r="DH20" s="170">
        <v>60000</v>
      </c>
      <c r="DI20" s="171">
        <v>60000</v>
      </c>
      <c r="DK20" s="159">
        <v>45676</v>
      </c>
      <c r="DL20" s="155" t="s">
        <v>312</v>
      </c>
      <c r="DM20" s="155" t="s">
        <v>322</v>
      </c>
      <c r="DN20" s="170"/>
      <c r="DO20" s="170">
        <v>540000</v>
      </c>
      <c r="DP20" s="171">
        <v>540000</v>
      </c>
      <c r="DR20" s="159">
        <v>45700</v>
      </c>
      <c r="DS20" s="155" t="s">
        <v>312</v>
      </c>
      <c r="DT20" s="156" t="s">
        <v>315</v>
      </c>
      <c r="DU20" s="170">
        <v>163415</v>
      </c>
      <c r="DV20" s="170"/>
      <c r="DW20" s="171">
        <v>163415</v>
      </c>
      <c r="DZ20" s="159">
        <v>45682</v>
      </c>
      <c r="EA20" s="155" t="s">
        <v>312</v>
      </c>
      <c r="EB20" s="156" t="s">
        <v>135</v>
      </c>
      <c r="EC20" s="170"/>
      <c r="ED20" s="170">
        <v>373780</v>
      </c>
      <c r="EE20" s="171">
        <v>373780</v>
      </c>
      <c r="EG20" s="159">
        <v>45659</v>
      </c>
      <c r="EH20" s="155" t="s">
        <v>312</v>
      </c>
      <c r="EI20" s="156" t="s">
        <v>314</v>
      </c>
      <c r="EJ20" s="156"/>
      <c r="EK20" s="157">
        <v>18000000</v>
      </c>
      <c r="EL20" s="161">
        <v>18000000</v>
      </c>
      <c r="EN20" s="159"/>
      <c r="EO20" s="155"/>
      <c r="EP20" s="156"/>
      <c r="EQ20" s="156"/>
      <c r="ER20" s="157"/>
      <c r="ES20" s="161"/>
      <c r="EU20" s="159">
        <v>45682</v>
      </c>
      <c r="EV20" s="155" t="s">
        <v>312</v>
      </c>
      <c r="EW20" s="156" t="s">
        <v>326</v>
      </c>
      <c r="EX20" s="170"/>
      <c r="EY20" s="170">
        <v>3398000</v>
      </c>
      <c r="EZ20" s="171">
        <v>3398000</v>
      </c>
      <c r="FB20" s="159">
        <v>45682</v>
      </c>
      <c r="FC20" s="155" t="s">
        <v>312</v>
      </c>
      <c r="FD20" s="156" t="s">
        <v>135</v>
      </c>
      <c r="FE20" s="170">
        <v>21780</v>
      </c>
      <c r="FF20" s="170"/>
      <c r="FG20" s="171">
        <v>21780</v>
      </c>
      <c r="FI20" s="159">
        <v>46022</v>
      </c>
      <c r="FJ20" s="155" t="s">
        <v>312</v>
      </c>
      <c r="FK20" s="156" t="s">
        <v>249</v>
      </c>
      <c r="FL20" s="170">
        <v>1511318.9726775959</v>
      </c>
      <c r="FM20" s="170"/>
      <c r="FN20" s="171">
        <v>1511318.9726775959</v>
      </c>
      <c r="FQ20" s="159"/>
      <c r="FR20" s="155"/>
      <c r="FS20" s="156"/>
      <c r="FT20" s="156"/>
      <c r="FU20" s="157"/>
      <c r="FV20" s="161"/>
      <c r="FX20" s="159">
        <v>45676</v>
      </c>
      <c r="FY20" s="155" t="s">
        <v>312</v>
      </c>
      <c r="FZ20" s="156" t="s">
        <v>320</v>
      </c>
      <c r="GA20" s="170">
        <v>600000</v>
      </c>
      <c r="GB20" s="170"/>
      <c r="GC20" s="171">
        <v>600000</v>
      </c>
      <c r="GE20" s="159"/>
      <c r="GF20" s="155"/>
      <c r="GG20" s="156"/>
      <c r="GH20" s="156"/>
      <c r="GI20" s="157"/>
      <c r="GJ20" s="161"/>
      <c r="GL20" s="159">
        <v>45668</v>
      </c>
      <c r="GM20" s="155" t="s">
        <v>312</v>
      </c>
      <c r="GN20" s="156" t="s">
        <v>319</v>
      </c>
      <c r="GO20" s="170">
        <v>110000</v>
      </c>
      <c r="GP20" s="170"/>
      <c r="GQ20" s="171">
        <v>110000</v>
      </c>
      <c r="GS20" s="159"/>
      <c r="GT20" s="155"/>
      <c r="GU20" s="156"/>
      <c r="GV20" s="156"/>
      <c r="GW20" s="157"/>
      <c r="GX20" s="161"/>
      <c r="GZ20" s="159"/>
      <c r="HA20" s="155"/>
      <c r="HB20" s="156"/>
      <c r="HC20" s="156"/>
      <c r="HD20" s="157"/>
      <c r="HE20" s="161"/>
      <c r="HG20" s="159"/>
      <c r="HH20" s="155"/>
      <c r="HI20" s="156"/>
      <c r="HJ20" s="156"/>
      <c r="HK20" s="157"/>
      <c r="HL20" s="161"/>
      <c r="HN20" s="159"/>
      <c r="HO20" s="155"/>
      <c r="HP20" s="156"/>
      <c r="HQ20" s="156"/>
      <c r="HR20" s="157"/>
      <c r="HS20" s="161"/>
      <c r="HU20" s="159">
        <v>45683</v>
      </c>
      <c r="HV20" s="155" t="s">
        <v>312</v>
      </c>
      <c r="HW20" s="156" t="s">
        <v>135</v>
      </c>
      <c r="HX20" s="170">
        <v>2812000</v>
      </c>
      <c r="HY20" s="170"/>
      <c r="HZ20" s="171">
        <v>2812000</v>
      </c>
    </row>
    <row r="21" spans="1:234">
      <c r="A21" s="233">
        <v>45668</v>
      </c>
      <c r="B21" s="41" t="s">
        <v>413</v>
      </c>
      <c r="C21" s="41">
        <v>1107</v>
      </c>
      <c r="D21" s="42">
        <v>1000000</v>
      </c>
      <c r="E21" s="56">
        <v>0</v>
      </c>
      <c r="G21" t="str">
        <v>Gedung</v>
      </c>
      <c r="H21" s="1">
        <v>1000000</v>
      </c>
      <c r="I21" s="1">
        <v>0</v>
      </c>
      <c r="K21" s="32"/>
      <c r="M21" s="32">
        <v>46023</v>
      </c>
      <c r="N21" t="str">
        <v xml:space="preserve">   Kas</v>
      </c>
      <c r="O21">
        <v>1101</v>
      </c>
      <c r="P21" s="1">
        <v>0</v>
      </c>
      <c r="Q21" s="1">
        <v>9308482.8922287412</v>
      </c>
      <c r="R21" s="1"/>
      <c r="S21" s="1" t="str">
        <v>Mesin Produksi</v>
      </c>
      <c r="T21" s="1">
        <v>2100000</v>
      </c>
      <c r="U21" s="1">
        <v>1500000</v>
      </c>
      <c r="AK21" s="159">
        <v>45667</v>
      </c>
      <c r="AL21" s="155" t="s">
        <v>312</v>
      </c>
      <c r="AM21" s="181" t="s">
        <v>316</v>
      </c>
      <c r="AN21" s="156"/>
      <c r="AO21" s="174">
        <v>1500000</v>
      </c>
      <c r="AP21" s="173">
        <v>16500000</v>
      </c>
      <c r="AR21" s="159"/>
      <c r="AS21" s="155"/>
      <c r="AT21" s="156"/>
      <c r="AU21" s="156"/>
      <c r="AV21" s="157"/>
      <c r="AW21" s="161"/>
      <c r="AY21" s="159">
        <v>45682</v>
      </c>
      <c r="AZ21" s="155" t="s">
        <v>312</v>
      </c>
      <c r="BA21" s="156" t="s">
        <v>140</v>
      </c>
      <c r="BB21" s="170"/>
      <c r="BC21" s="170">
        <v>21780</v>
      </c>
      <c r="BD21" s="171">
        <v>3750000</v>
      </c>
      <c r="BF21" s="159">
        <v>45700</v>
      </c>
      <c r="BG21" s="155" t="s">
        <v>312</v>
      </c>
      <c r="BH21" s="156" t="s">
        <v>315</v>
      </c>
      <c r="BI21" s="170">
        <v>2261500</v>
      </c>
      <c r="BJ21" s="170"/>
      <c r="BK21" s="171">
        <v>3621500</v>
      </c>
      <c r="BM21" s="159">
        <v>45710</v>
      </c>
      <c r="BN21" s="155" t="s">
        <v>312</v>
      </c>
      <c r="BO21" s="156" t="s">
        <v>326</v>
      </c>
      <c r="BP21" s="170"/>
      <c r="BQ21" s="170">
        <v>4161380.5309734512</v>
      </c>
      <c r="BR21" s="171">
        <v>6973380.5309734512</v>
      </c>
      <c r="BT21" s="159">
        <v>45726</v>
      </c>
      <c r="BU21" s="155" t="s">
        <v>312</v>
      </c>
      <c r="BV21" s="156" t="s">
        <v>187</v>
      </c>
      <c r="BW21" s="170"/>
      <c r="BX21" s="170">
        <v>219500</v>
      </c>
      <c r="BY21" s="171">
        <v>382915</v>
      </c>
      <c r="CA21" s="159"/>
      <c r="CB21" s="155"/>
      <c r="CC21" s="156"/>
      <c r="CD21" s="170"/>
      <c r="CE21" s="170"/>
      <c r="CF21" s="173">
        <v>1000000</v>
      </c>
      <c r="CI21" s="159"/>
      <c r="CJ21" s="155"/>
      <c r="CK21" s="156"/>
      <c r="CL21" s="170"/>
      <c r="CM21" s="170"/>
      <c r="CN21" s="173">
        <v>1500000</v>
      </c>
      <c r="CP21" s="159"/>
      <c r="CQ21" s="155"/>
      <c r="CR21" s="156"/>
      <c r="CS21" s="156"/>
      <c r="CT21" s="157"/>
      <c r="CU21" s="161"/>
      <c r="CW21" s="159">
        <v>45789</v>
      </c>
      <c r="CX21" s="155" t="s">
        <v>312</v>
      </c>
      <c r="CY21" s="156" t="s">
        <v>140</v>
      </c>
      <c r="CZ21" s="170">
        <v>6100</v>
      </c>
      <c r="DA21" s="170"/>
      <c r="DB21" s="171">
        <v>1624000</v>
      </c>
      <c r="DD21" s="159">
        <v>45707</v>
      </c>
      <c r="DE21" s="155" t="s">
        <v>312</v>
      </c>
      <c r="DF21" s="156" t="s">
        <v>321</v>
      </c>
      <c r="DG21" s="170"/>
      <c r="DH21" s="170">
        <v>60000</v>
      </c>
      <c r="DI21" s="171">
        <v>120000</v>
      </c>
      <c r="DK21" s="159">
        <v>45680</v>
      </c>
      <c r="DL21" s="155" t="s">
        <v>312</v>
      </c>
      <c r="DM21" s="156" t="s">
        <v>324</v>
      </c>
      <c r="DN21" s="170">
        <v>540000</v>
      </c>
      <c r="DO21" s="170"/>
      <c r="DP21" s="171">
        <v>0</v>
      </c>
      <c r="DR21" s="159">
        <v>45726</v>
      </c>
      <c r="DS21" s="155" t="s">
        <v>312</v>
      </c>
      <c r="DT21" s="156" t="s">
        <v>315</v>
      </c>
      <c r="DU21" s="170">
        <v>179500</v>
      </c>
      <c r="DV21" s="170"/>
      <c r="DW21" s="171">
        <v>342915</v>
      </c>
      <c r="DZ21" s="159">
        <v>45709</v>
      </c>
      <c r="EA21" s="155" t="s">
        <v>312</v>
      </c>
      <c r="EB21" s="156" t="s">
        <v>135</v>
      </c>
      <c r="EC21" s="170"/>
      <c r="ED21" s="170">
        <v>471460</v>
      </c>
      <c r="EE21" s="171">
        <v>845240</v>
      </c>
      <c r="EG21" s="159"/>
      <c r="EH21" s="155"/>
      <c r="EI21" s="156"/>
      <c r="EJ21" s="156"/>
      <c r="EK21" s="157"/>
      <c r="EL21" s="161">
        <v>18000000</v>
      </c>
      <c r="EN21" s="159"/>
      <c r="EO21" s="155"/>
      <c r="EP21" s="156"/>
      <c r="EQ21" s="156"/>
      <c r="ER21" s="157"/>
      <c r="ES21" s="161"/>
      <c r="EU21" s="159">
        <v>45709</v>
      </c>
      <c r="EV21" s="155" t="s">
        <v>312</v>
      </c>
      <c r="EW21" s="156" t="s">
        <v>326</v>
      </c>
      <c r="EX21" s="170"/>
      <c r="EY21" s="170">
        <v>4286000</v>
      </c>
      <c r="EZ21" s="171">
        <v>7684000</v>
      </c>
      <c r="FB21" s="159">
        <v>45710</v>
      </c>
      <c r="FC21" s="155" t="s">
        <v>312</v>
      </c>
      <c r="FD21" s="156" t="s">
        <v>135</v>
      </c>
      <c r="FE21" s="170">
        <v>47460</v>
      </c>
      <c r="FF21" s="170"/>
      <c r="FG21" s="171">
        <v>69240</v>
      </c>
      <c r="FI21" s="165">
        <v>46022</v>
      </c>
      <c r="FJ21" s="166" t="s">
        <v>335</v>
      </c>
      <c r="FK21" s="167" t="s">
        <v>336</v>
      </c>
      <c r="FL21" s="176"/>
      <c r="FM21" s="176">
        <v>1511318.9726775959</v>
      </c>
      <c r="FN21" s="171">
        <v>0</v>
      </c>
      <c r="FQ21" s="159"/>
      <c r="FR21" s="155"/>
      <c r="FS21" s="156"/>
      <c r="FT21" s="156"/>
      <c r="FU21" s="157"/>
      <c r="FV21" s="161"/>
      <c r="FX21" s="159">
        <v>45707</v>
      </c>
      <c r="FY21" s="155" t="s">
        <v>312</v>
      </c>
      <c r="FZ21" s="156" t="s">
        <v>320</v>
      </c>
      <c r="GA21" s="170">
        <v>600000</v>
      </c>
      <c r="GB21" s="170"/>
      <c r="GC21" s="171">
        <v>1200000</v>
      </c>
      <c r="GE21" s="159"/>
      <c r="GF21" s="155"/>
      <c r="GG21" s="156"/>
      <c r="GH21" s="156"/>
      <c r="GI21" s="157"/>
      <c r="GJ21" s="161"/>
      <c r="GL21" s="159">
        <v>45700</v>
      </c>
      <c r="GM21" s="155" t="s">
        <v>312</v>
      </c>
      <c r="GN21" s="156" t="s">
        <v>319</v>
      </c>
      <c r="GO21" s="170">
        <v>110000</v>
      </c>
      <c r="GP21" s="170"/>
      <c r="GQ21" s="171">
        <v>220000</v>
      </c>
      <c r="GS21" s="159"/>
      <c r="GT21" s="155"/>
      <c r="GU21" s="156"/>
      <c r="GV21" s="156"/>
      <c r="GW21" s="157"/>
      <c r="GX21" s="161"/>
      <c r="GZ21" s="159"/>
      <c r="HA21" s="155"/>
      <c r="HB21" s="156"/>
      <c r="HC21" s="156"/>
      <c r="HD21" s="157"/>
      <c r="HE21" s="161"/>
      <c r="HG21" s="159"/>
      <c r="HH21" s="155"/>
      <c r="HI21" s="156"/>
      <c r="HJ21" s="156"/>
      <c r="HK21" s="157"/>
      <c r="HL21" s="161"/>
      <c r="HN21" s="159"/>
      <c r="HO21" s="155"/>
      <c r="HP21" s="156"/>
      <c r="HQ21" s="156"/>
      <c r="HR21" s="157"/>
      <c r="HS21" s="161"/>
      <c r="HU21" s="159">
        <v>45710</v>
      </c>
      <c r="HV21" s="155" t="s">
        <v>312</v>
      </c>
      <c r="HW21" s="156" t="s">
        <v>135</v>
      </c>
      <c r="HX21" s="170">
        <v>4161380.5309734512</v>
      </c>
      <c r="HY21" s="170"/>
      <c r="HZ21" s="171">
        <v>6973380.5309734512</v>
      </c>
    </row>
    <row r="22" spans="1:234">
      <c r="A22" s="233">
        <v>45668</v>
      </c>
      <c r="B22" s="41" t="s">
        <v>398</v>
      </c>
      <c r="C22" s="41">
        <v>1101</v>
      </c>
      <c r="D22" s="42">
        <v>0</v>
      </c>
      <c r="E22" s="56">
        <v>1000000</v>
      </c>
      <c r="G22" t="str">
        <v>Akumulasi Penyusutan Gedung</v>
      </c>
      <c r="H22" s="1">
        <v>0</v>
      </c>
      <c r="I22" s="1">
        <v>100000</v>
      </c>
      <c r="K22" s="32"/>
      <c r="M22" s="32">
        <v>46023</v>
      </c>
      <c r="N22" t="str">
        <v>Kas</v>
      </c>
      <c r="O22">
        <v>1101</v>
      </c>
      <c r="P22" s="1">
        <v>5000000</v>
      </c>
      <c r="Q22" s="1">
        <v>0</v>
      </c>
      <c r="R22" s="1"/>
      <c r="S22" s="1" t="str">
        <v>Aset Lainnya</v>
      </c>
      <c r="T22" s="1">
        <v>19169545.259128027</v>
      </c>
      <c r="U22" s="1">
        <v>0</v>
      </c>
      <c r="AK22" s="165">
        <v>45668</v>
      </c>
      <c r="AL22" s="155" t="s">
        <v>312</v>
      </c>
      <c r="AM22" s="182" t="s">
        <v>318</v>
      </c>
      <c r="AN22" s="167"/>
      <c r="AO22" s="175">
        <v>1000000</v>
      </c>
      <c r="AP22" s="173">
        <v>15500000</v>
      </c>
      <c r="AR22" s="165"/>
      <c r="AS22" s="166"/>
      <c r="AT22" s="167"/>
      <c r="AU22" s="167"/>
      <c r="AV22" s="168"/>
      <c r="AW22" s="169"/>
      <c r="AY22" s="165">
        <v>45709</v>
      </c>
      <c r="AZ22" s="155" t="s">
        <v>312</v>
      </c>
      <c r="BA22" s="167" t="s">
        <v>135</v>
      </c>
      <c r="BB22" s="172">
        <v>4757460</v>
      </c>
      <c r="BC22" s="172"/>
      <c r="BD22" s="171">
        <v>8507460</v>
      </c>
      <c r="BF22" s="165">
        <v>45710</v>
      </c>
      <c r="BG22" s="155" t="s">
        <v>312</v>
      </c>
      <c r="BH22" s="156" t="s">
        <v>315</v>
      </c>
      <c r="BI22" s="172">
        <v>4290000</v>
      </c>
      <c r="BJ22" s="172"/>
      <c r="BK22" s="171">
        <v>7911500</v>
      </c>
      <c r="BM22" s="165">
        <v>45726</v>
      </c>
      <c r="BN22" s="155" t="s">
        <v>312</v>
      </c>
      <c r="BO22" s="156" t="s">
        <v>326</v>
      </c>
      <c r="BP22" s="172"/>
      <c r="BQ22" s="172">
        <v>4813157.8947368413</v>
      </c>
      <c r="BR22" s="171">
        <v>11786538.425710293</v>
      </c>
      <c r="BT22" s="165">
        <v>45789</v>
      </c>
      <c r="BU22" s="155" t="s">
        <v>312</v>
      </c>
      <c r="BV22" s="167" t="s">
        <v>330</v>
      </c>
      <c r="BW22" s="172"/>
      <c r="BX22" s="172">
        <v>6100</v>
      </c>
      <c r="BY22" s="171">
        <v>389015</v>
      </c>
      <c r="CA22" s="165"/>
      <c r="CB22" s="166"/>
      <c r="CC22" s="167"/>
      <c r="CD22" s="172"/>
      <c r="CE22" s="172"/>
      <c r="CF22" s="173">
        <v>1000000</v>
      </c>
      <c r="CI22" s="165"/>
      <c r="CJ22" s="166"/>
      <c r="CK22" s="167"/>
      <c r="CL22" s="172"/>
      <c r="CM22" s="172"/>
      <c r="CN22" s="173">
        <v>1500000</v>
      </c>
      <c r="CP22" s="165"/>
      <c r="CQ22" s="166"/>
      <c r="CR22" s="167"/>
      <c r="CS22" s="167"/>
      <c r="CT22" s="168"/>
      <c r="CU22" s="169"/>
      <c r="CW22" s="165">
        <v>45810</v>
      </c>
      <c r="CX22" s="155" t="s">
        <v>312</v>
      </c>
      <c r="CY22" s="155" t="s">
        <v>315</v>
      </c>
      <c r="CZ22" s="172"/>
      <c r="DA22" s="172">
        <v>1747300</v>
      </c>
      <c r="DB22" s="171">
        <v>3371300</v>
      </c>
      <c r="DD22" s="165">
        <v>45726</v>
      </c>
      <c r="DE22" s="155" t="s">
        <v>312</v>
      </c>
      <c r="DF22" s="156" t="s">
        <v>321</v>
      </c>
      <c r="DG22" s="172"/>
      <c r="DH22" s="172">
        <v>60000</v>
      </c>
      <c r="DI22" s="171">
        <v>180000</v>
      </c>
      <c r="DK22" s="165">
        <v>45707</v>
      </c>
      <c r="DL22" s="155" t="s">
        <v>312</v>
      </c>
      <c r="DM22" s="156" t="s">
        <v>322</v>
      </c>
      <c r="DN22" s="172"/>
      <c r="DO22" s="172">
        <v>540000</v>
      </c>
      <c r="DP22" s="171">
        <v>540000</v>
      </c>
      <c r="DR22" s="165">
        <v>45786</v>
      </c>
      <c r="DS22" s="155" t="s">
        <v>312</v>
      </c>
      <c r="DT22" s="156" t="s">
        <v>315</v>
      </c>
      <c r="DU22" s="172">
        <v>80100</v>
      </c>
      <c r="DV22" s="172"/>
      <c r="DW22" s="171">
        <v>423015</v>
      </c>
      <c r="DZ22" s="165">
        <v>45726</v>
      </c>
      <c r="EA22" s="155" t="s">
        <v>312</v>
      </c>
      <c r="EB22" s="156" t="s">
        <v>135</v>
      </c>
      <c r="EC22" s="172"/>
      <c r="ED22" s="170">
        <v>597135</v>
      </c>
      <c r="EE22" s="171">
        <v>1442375</v>
      </c>
      <c r="EG22" s="165"/>
      <c r="EH22" s="166"/>
      <c r="EI22" s="167"/>
      <c r="EJ22" s="167"/>
      <c r="EK22" s="168"/>
      <c r="EL22" s="161">
        <v>18000000</v>
      </c>
      <c r="EN22" s="165"/>
      <c r="EO22" s="166"/>
      <c r="EP22" s="167"/>
      <c r="EQ22" s="167"/>
      <c r="ER22" s="168"/>
      <c r="ES22" s="169"/>
      <c r="EU22" s="165">
        <v>45726</v>
      </c>
      <c r="EV22" s="155" t="s">
        <v>312</v>
      </c>
      <c r="EW22" s="156" t="s">
        <v>326</v>
      </c>
      <c r="EX22" s="172"/>
      <c r="EY22" s="172">
        <v>5428500</v>
      </c>
      <c r="EZ22" s="171">
        <v>13112500</v>
      </c>
      <c r="FB22" s="165">
        <v>45726</v>
      </c>
      <c r="FC22" s="155" t="s">
        <v>312</v>
      </c>
      <c r="FD22" s="156" t="s">
        <v>135</v>
      </c>
      <c r="FE22" s="172">
        <v>85635</v>
      </c>
      <c r="FF22" s="172"/>
      <c r="FG22" s="171">
        <v>154875</v>
      </c>
      <c r="FQ22" s="165"/>
      <c r="FR22" s="166"/>
      <c r="FS22" s="167"/>
      <c r="FT22" s="167"/>
      <c r="FU22" s="168"/>
      <c r="FV22" s="169"/>
      <c r="FX22" s="165">
        <v>45726</v>
      </c>
      <c r="FY22" s="155" t="s">
        <v>312</v>
      </c>
      <c r="FZ22" s="156" t="s">
        <v>320</v>
      </c>
      <c r="GA22" s="172">
        <v>600000</v>
      </c>
      <c r="GB22" s="172"/>
      <c r="GC22" s="171">
        <v>1800000</v>
      </c>
      <c r="GE22" s="165"/>
      <c r="GF22" s="166"/>
      <c r="GG22" s="167"/>
      <c r="GH22" s="167"/>
      <c r="GI22" s="168"/>
      <c r="GJ22" s="169"/>
      <c r="GL22" s="165">
        <v>45726</v>
      </c>
      <c r="GM22" s="155" t="s">
        <v>312</v>
      </c>
      <c r="GN22" s="156" t="s">
        <v>319</v>
      </c>
      <c r="GO22" s="172">
        <v>110000</v>
      </c>
      <c r="GP22" s="172"/>
      <c r="GQ22" s="171">
        <v>330000</v>
      </c>
      <c r="GS22" s="165"/>
      <c r="GT22" s="166"/>
      <c r="GU22" s="167"/>
      <c r="GV22" s="167"/>
      <c r="GW22" s="168"/>
      <c r="GX22" s="169"/>
      <c r="GZ22" s="165"/>
      <c r="HA22" s="166"/>
      <c r="HB22" s="167"/>
      <c r="HC22" s="167"/>
      <c r="HD22" s="168"/>
      <c r="HE22" s="169"/>
      <c r="HG22" s="165"/>
      <c r="HH22" s="166"/>
      <c r="HI22" s="167"/>
      <c r="HJ22" s="167"/>
      <c r="HK22" s="168"/>
      <c r="HL22" s="169"/>
      <c r="HN22" s="165"/>
      <c r="HO22" s="166"/>
      <c r="HP22" s="167"/>
      <c r="HQ22" s="167"/>
      <c r="HR22" s="168"/>
      <c r="HS22" s="169"/>
      <c r="HU22" s="165">
        <v>45726</v>
      </c>
      <c r="HV22" s="155" t="s">
        <v>312</v>
      </c>
      <c r="HW22" s="156" t="s">
        <v>135</v>
      </c>
      <c r="HX22" s="172">
        <v>4813157.8947368413</v>
      </c>
      <c r="HY22" s="172"/>
      <c r="HZ22" s="171">
        <v>11786538.425710293</v>
      </c>
    </row>
    <row r="23" spans="1:234">
      <c r="A23" s="233">
        <v>45668</v>
      </c>
      <c r="B23" s="41" t="s">
        <v>417</v>
      </c>
      <c r="C23" s="41">
        <v>5104</v>
      </c>
      <c r="D23" s="42">
        <v>110000</v>
      </c>
      <c r="E23" s="56">
        <v>0</v>
      </c>
      <c r="G23" t="str">
        <v>Mesin Produksi</v>
      </c>
      <c r="H23" s="1">
        <v>1500000</v>
      </c>
      <c r="I23" s="1">
        <v>0</v>
      </c>
      <c r="K23" s="32"/>
      <c r="M23" s="32">
        <v>46023</v>
      </c>
      <c r="N23" t="str">
        <v xml:space="preserve">   Wesel Bayar</v>
      </c>
      <c r="O23">
        <v>2108</v>
      </c>
      <c r="P23" s="1">
        <v>0</v>
      </c>
      <c r="Q23" s="1">
        <v>5000000</v>
      </c>
      <c r="R23" s="1"/>
      <c r="S23" s="1" t="str">
        <v>Kendaraan</v>
      </c>
      <c r="T23" s="1">
        <v>35000</v>
      </c>
      <c r="U23" s="1">
        <v>35000</v>
      </c>
      <c r="AK23" s="165">
        <v>45668</v>
      </c>
      <c r="AL23" s="155" t="s">
        <v>312</v>
      </c>
      <c r="AM23" s="182" t="s">
        <v>327</v>
      </c>
      <c r="AN23" s="167"/>
      <c r="AO23" s="168">
        <v>110000</v>
      </c>
      <c r="AP23" s="173">
        <v>15390000</v>
      </c>
      <c r="AY23" s="165">
        <v>45710</v>
      </c>
      <c r="AZ23" s="155" t="s">
        <v>312</v>
      </c>
      <c r="BA23" s="167" t="s">
        <v>140</v>
      </c>
      <c r="BB23" s="176"/>
      <c r="BC23" s="176">
        <v>47460</v>
      </c>
      <c r="BD23" s="171">
        <v>8460000</v>
      </c>
      <c r="BF23" s="165">
        <v>45754</v>
      </c>
      <c r="BG23" s="155" t="s">
        <v>312</v>
      </c>
      <c r="BH23" s="156" t="s">
        <v>315</v>
      </c>
      <c r="BI23" s="176">
        <v>1410000</v>
      </c>
      <c r="BJ23" s="176"/>
      <c r="BK23" s="171">
        <v>9321500</v>
      </c>
      <c r="BM23" s="165">
        <v>45772</v>
      </c>
      <c r="BN23" s="155" t="s">
        <v>312</v>
      </c>
      <c r="BO23" s="156" t="s">
        <v>326</v>
      </c>
      <c r="BP23" s="176"/>
      <c r="BQ23" s="176">
        <v>1400000</v>
      </c>
      <c r="BR23" s="171">
        <v>13186538.425710293</v>
      </c>
      <c r="BT23" s="165">
        <v>45822</v>
      </c>
      <c r="BU23" s="155" t="s">
        <v>312</v>
      </c>
      <c r="BV23" s="167" t="s">
        <v>330</v>
      </c>
      <c r="BW23" s="176"/>
      <c r="BX23" s="176">
        <v>7300</v>
      </c>
      <c r="BY23" s="171">
        <v>396315</v>
      </c>
      <c r="CW23" s="165">
        <v>45822</v>
      </c>
      <c r="CX23" s="155" t="s">
        <v>312</v>
      </c>
      <c r="CY23" s="156" t="s">
        <v>140</v>
      </c>
      <c r="CZ23" s="176">
        <v>7300</v>
      </c>
      <c r="DA23" s="176"/>
      <c r="DB23" s="171">
        <v>3364000</v>
      </c>
      <c r="DD23" s="165">
        <v>45758</v>
      </c>
      <c r="DE23" s="166" t="s">
        <v>312</v>
      </c>
      <c r="DF23" s="167" t="s">
        <v>321</v>
      </c>
      <c r="DG23" s="176"/>
      <c r="DH23" s="176">
        <v>60000</v>
      </c>
      <c r="DI23" s="171">
        <v>240000</v>
      </c>
      <c r="DK23" s="165">
        <v>45708</v>
      </c>
      <c r="DL23" s="155" t="s">
        <v>312</v>
      </c>
      <c r="DM23" s="156" t="s">
        <v>324</v>
      </c>
      <c r="DN23" s="176">
        <v>540000</v>
      </c>
      <c r="DO23" s="176"/>
      <c r="DP23" s="171">
        <v>0</v>
      </c>
      <c r="DR23" s="165">
        <v>45996</v>
      </c>
      <c r="DS23" s="155" t="s">
        <v>312</v>
      </c>
      <c r="DT23" s="156" t="s">
        <v>315</v>
      </c>
      <c r="DU23" s="176">
        <v>148639</v>
      </c>
      <c r="DV23" s="176"/>
      <c r="DW23" s="177"/>
      <c r="DZ23" s="165">
        <v>45765</v>
      </c>
      <c r="EA23" s="155" t="s">
        <v>312</v>
      </c>
      <c r="EB23" s="156" t="s">
        <v>135</v>
      </c>
      <c r="EC23" s="176"/>
      <c r="ED23" s="176">
        <v>217250</v>
      </c>
      <c r="EE23" s="171">
        <v>1659625</v>
      </c>
      <c r="EU23" s="165">
        <v>45765</v>
      </c>
      <c r="EV23" s="155" t="s">
        <v>312</v>
      </c>
      <c r="EW23" s="156" t="s">
        <v>326</v>
      </c>
      <c r="EX23" s="176"/>
      <c r="EY23" s="176">
        <v>1975000</v>
      </c>
      <c r="EZ23" s="171">
        <v>15087500</v>
      </c>
      <c r="FB23" s="165">
        <v>45765</v>
      </c>
      <c r="FC23" s="155" t="s">
        <v>312</v>
      </c>
      <c r="FD23" s="156" t="s">
        <v>135</v>
      </c>
      <c r="FE23" s="176">
        <v>22250</v>
      </c>
      <c r="FF23" s="176"/>
      <c r="FG23" s="171">
        <v>177125</v>
      </c>
      <c r="FX23" s="165">
        <v>45758</v>
      </c>
      <c r="FY23" s="178" t="s">
        <v>312</v>
      </c>
      <c r="FZ23" s="179" t="s">
        <v>320</v>
      </c>
      <c r="GA23" s="179">
        <v>600000</v>
      </c>
      <c r="GB23" s="168"/>
      <c r="GC23" s="171">
        <v>2400000</v>
      </c>
      <c r="GL23" s="165">
        <v>45765</v>
      </c>
      <c r="GM23" s="166" t="s">
        <v>312</v>
      </c>
      <c r="GN23" s="167" t="s">
        <v>319</v>
      </c>
      <c r="GO23" s="179">
        <v>110000</v>
      </c>
      <c r="GP23" s="168"/>
      <c r="GQ23" s="171">
        <v>440000</v>
      </c>
      <c r="HU23" s="165">
        <v>45772</v>
      </c>
      <c r="HV23" s="155" t="s">
        <v>312</v>
      </c>
      <c r="HW23" s="156" t="s">
        <v>135</v>
      </c>
      <c r="HX23" s="176">
        <v>1400000</v>
      </c>
      <c r="HY23" s="176"/>
      <c r="HZ23" s="171">
        <v>13186538.425710293</v>
      </c>
    </row>
    <row r="24" spans="1:234">
      <c r="A24" s="233">
        <v>45668</v>
      </c>
      <c r="B24" s="41" t="s">
        <v>398</v>
      </c>
      <c r="C24" s="41">
        <v>1101</v>
      </c>
      <c r="D24" s="42">
        <v>0</v>
      </c>
      <c r="E24" s="56">
        <v>110000</v>
      </c>
      <c r="G24" t="str">
        <v>Akumulasi Penyusutan Mesin</v>
      </c>
      <c r="H24" s="1">
        <v>0</v>
      </c>
      <c r="I24" s="1">
        <v>300000</v>
      </c>
      <c r="K24" s="32"/>
      <c r="M24" s="32">
        <v>46024</v>
      </c>
      <c r="N24" t="str">
        <v>Persediaan Bahan Baku</v>
      </c>
      <c r="O24">
        <v>1104</v>
      </c>
      <c r="P24" s="1">
        <v>4590000</v>
      </c>
      <c r="Q24" s="1">
        <v>0</v>
      </c>
      <c r="R24" s="1"/>
      <c r="S24" s="1" t="str">
        <v>Akumulasi Penyusutan Kendaraan</v>
      </c>
      <c r="T24" s="1">
        <v>400000</v>
      </c>
      <c r="U24" s="1">
        <v>0</v>
      </c>
      <c r="AK24" s="165">
        <v>45677</v>
      </c>
      <c r="AL24" s="155" t="s">
        <v>312</v>
      </c>
      <c r="AM24" s="182" t="s">
        <v>323</v>
      </c>
      <c r="AN24" s="167"/>
      <c r="AO24" s="168">
        <v>1360000</v>
      </c>
      <c r="AP24" s="173">
        <v>14030000</v>
      </c>
      <c r="AY24" s="165">
        <v>45726</v>
      </c>
      <c r="AZ24" s="155" t="s">
        <v>312</v>
      </c>
      <c r="BA24" s="167" t="s">
        <v>135</v>
      </c>
      <c r="BB24" s="176">
        <v>6025635</v>
      </c>
      <c r="BC24" s="176"/>
      <c r="BD24" s="171">
        <v>14485635</v>
      </c>
      <c r="BF24" s="165">
        <v>45786</v>
      </c>
      <c r="BG24" s="155" t="s">
        <v>312</v>
      </c>
      <c r="BH24" s="156" t="s">
        <v>315</v>
      </c>
      <c r="BI24" s="176">
        <v>1550000</v>
      </c>
      <c r="BJ24" s="176"/>
      <c r="BK24" s="171">
        <v>10871500</v>
      </c>
      <c r="BM24" s="165">
        <v>45835</v>
      </c>
      <c r="BN24" s="155" t="s">
        <v>312</v>
      </c>
      <c r="BO24" s="156" t="s">
        <v>326</v>
      </c>
      <c r="BP24" s="176"/>
      <c r="BQ24" s="176">
        <v>3562222.222222222</v>
      </c>
      <c r="BR24" s="171">
        <v>16748760.647932515</v>
      </c>
      <c r="BT24" s="165"/>
      <c r="BU24" s="166"/>
      <c r="BV24" s="167"/>
      <c r="BW24" s="176"/>
      <c r="BX24" s="176"/>
      <c r="BY24" s="177"/>
      <c r="CW24" s="165">
        <v>45996</v>
      </c>
      <c r="CX24" s="155" t="s">
        <v>312</v>
      </c>
      <c r="CY24" s="155" t="s">
        <v>315</v>
      </c>
      <c r="CZ24" s="176"/>
      <c r="DA24" s="176">
        <v>5028639</v>
      </c>
      <c r="DB24" s="171">
        <v>8392639</v>
      </c>
      <c r="DD24" s="165">
        <v>45789</v>
      </c>
      <c r="DE24" s="166" t="s">
        <v>312</v>
      </c>
      <c r="DF24" s="167" t="s">
        <v>321</v>
      </c>
      <c r="DG24" s="176"/>
      <c r="DH24" s="176">
        <v>60000</v>
      </c>
      <c r="DI24" s="171">
        <v>300000</v>
      </c>
      <c r="DK24" s="165">
        <v>45726</v>
      </c>
      <c r="DL24" s="155" t="s">
        <v>312</v>
      </c>
      <c r="DM24" s="167" t="s">
        <v>322</v>
      </c>
      <c r="DN24" s="176"/>
      <c r="DO24" s="176">
        <v>540000</v>
      </c>
      <c r="DP24" s="171">
        <v>540000</v>
      </c>
      <c r="DZ24" s="165">
        <v>45796</v>
      </c>
      <c r="EA24" s="155" t="s">
        <v>312</v>
      </c>
      <c r="EB24" s="156" t="s">
        <v>135</v>
      </c>
      <c r="EC24" s="176"/>
      <c r="ED24" s="176">
        <v>779405</v>
      </c>
      <c r="EE24" s="171">
        <v>2439030</v>
      </c>
      <c r="EU24" s="165">
        <v>45796</v>
      </c>
      <c r="EV24" s="155" t="s">
        <v>312</v>
      </c>
      <c r="EW24" s="156" t="s">
        <v>326</v>
      </c>
      <c r="EX24" s="176"/>
      <c r="EY24" s="176">
        <v>7085500</v>
      </c>
      <c r="EZ24" s="171">
        <v>22173000</v>
      </c>
      <c r="FB24" s="165">
        <v>45833</v>
      </c>
      <c r="FC24" s="155" t="s">
        <v>312</v>
      </c>
      <c r="FD24" s="156" t="s">
        <v>135</v>
      </c>
      <c r="FE24" s="176">
        <v>49509</v>
      </c>
      <c r="FF24" s="176"/>
      <c r="FG24" s="171">
        <v>226634</v>
      </c>
      <c r="FX24" s="165">
        <v>45789</v>
      </c>
      <c r="FY24" s="178" t="s">
        <v>312</v>
      </c>
      <c r="FZ24" s="179" t="s">
        <v>320</v>
      </c>
      <c r="GA24" s="179">
        <v>600000</v>
      </c>
      <c r="GB24" s="168"/>
      <c r="GC24" s="171">
        <v>3000000</v>
      </c>
      <c r="GL24" s="165">
        <v>45792</v>
      </c>
      <c r="GM24" s="166" t="s">
        <v>312</v>
      </c>
      <c r="GN24" s="167" t="s">
        <v>319</v>
      </c>
      <c r="GO24" s="179">
        <v>110000</v>
      </c>
      <c r="GP24" s="168"/>
      <c r="GQ24" s="171">
        <v>550000</v>
      </c>
      <c r="HU24" s="165">
        <v>45835</v>
      </c>
      <c r="HV24" s="155" t="s">
        <v>312</v>
      </c>
      <c r="HW24" s="156" t="s">
        <v>135</v>
      </c>
      <c r="HX24" s="176">
        <v>3562222.222222222</v>
      </c>
      <c r="HY24" s="176"/>
      <c r="HZ24" s="171">
        <v>16748760.647932515</v>
      </c>
    </row>
    <row r="25" spans="1:234">
      <c r="A25" s="233">
        <v>45676</v>
      </c>
      <c r="B25" s="41" t="s">
        <v>415</v>
      </c>
      <c r="C25" s="41">
        <v>5102</v>
      </c>
      <c r="D25" s="42">
        <v>600000</v>
      </c>
      <c r="E25" s="56">
        <v>0</v>
      </c>
      <c r="G25" t="str">
        <v>PPN Masukan</v>
      </c>
      <c r="H25" s="1">
        <v>618954</v>
      </c>
      <c r="I25" s="1">
        <v>0</v>
      </c>
      <c r="K25" s="32"/>
      <c r="M25" s="32">
        <v>46024</v>
      </c>
      <c r="N25" t="str">
        <v>PPN Masukan</v>
      </c>
      <c r="O25">
        <v>1114</v>
      </c>
      <c r="P25" s="1">
        <v>504900</v>
      </c>
      <c r="Q25" s="1">
        <v>0</v>
      </c>
      <c r="R25" s="1"/>
      <c r="S25" s="1" t="str">
        <v>PPN Masukan</v>
      </c>
      <c r="T25" s="1">
        <v>2453446.875</v>
      </c>
      <c r="U25" s="1">
        <v>0</v>
      </c>
      <c r="AK25" s="165">
        <v>45680</v>
      </c>
      <c r="AL25" s="155" t="s">
        <v>312</v>
      </c>
      <c r="AM25" s="182" t="s">
        <v>325</v>
      </c>
      <c r="AN25" s="167"/>
      <c r="AO25" s="168">
        <v>540000</v>
      </c>
      <c r="AP25" s="173">
        <v>13490000</v>
      </c>
      <c r="AY25" s="165">
        <v>45726</v>
      </c>
      <c r="AZ25" s="155" t="s">
        <v>312</v>
      </c>
      <c r="BA25" s="167" t="s">
        <v>140</v>
      </c>
      <c r="BB25" s="176"/>
      <c r="BC25" s="176">
        <v>85635</v>
      </c>
      <c r="BD25" s="171">
        <v>14400000</v>
      </c>
      <c r="BF25" s="165">
        <v>45996</v>
      </c>
      <c r="BG25" s="155" t="s">
        <v>312</v>
      </c>
      <c r="BH25" s="156" t="s">
        <v>315</v>
      </c>
      <c r="BI25" s="176">
        <v>4880000</v>
      </c>
      <c r="BJ25" s="176"/>
      <c r="BK25" s="171">
        <v>15751500</v>
      </c>
      <c r="BM25" s="165">
        <v>46012</v>
      </c>
      <c r="BN25" s="155" t="s">
        <v>312</v>
      </c>
      <c r="BO25" s="156" t="s">
        <v>326</v>
      </c>
      <c r="BP25" s="176"/>
      <c r="BQ25" s="176">
        <v>7697338.1818181826</v>
      </c>
      <c r="BR25" s="171">
        <v>24446098.829750698</v>
      </c>
      <c r="DD25" s="165">
        <v>45826</v>
      </c>
      <c r="DE25" s="166" t="s">
        <v>312</v>
      </c>
      <c r="DF25" s="167" t="s">
        <v>321</v>
      </c>
      <c r="DG25" s="176"/>
      <c r="DH25" s="176">
        <v>60000</v>
      </c>
      <c r="DI25" s="171">
        <v>360000</v>
      </c>
      <c r="DK25" s="165">
        <v>45726</v>
      </c>
      <c r="DL25" s="155" t="s">
        <v>312</v>
      </c>
      <c r="DM25" s="167" t="s">
        <v>324</v>
      </c>
      <c r="DN25" s="176">
        <v>540000</v>
      </c>
      <c r="DO25" s="176"/>
      <c r="DP25" s="171">
        <v>0</v>
      </c>
      <c r="DZ25" s="165">
        <v>45833</v>
      </c>
      <c r="EA25" s="155" t="s">
        <v>312</v>
      </c>
      <c r="EB25" s="156" t="s">
        <v>135</v>
      </c>
      <c r="EC25" s="176"/>
      <c r="ED25" s="176">
        <v>477609</v>
      </c>
      <c r="EE25" s="171">
        <v>2916639</v>
      </c>
      <c r="EU25" s="165">
        <v>45833</v>
      </c>
      <c r="EV25" s="155" t="s">
        <v>312</v>
      </c>
      <c r="EW25" s="156" t="s">
        <v>326</v>
      </c>
      <c r="EX25" s="176"/>
      <c r="EY25" s="176">
        <v>4341900</v>
      </c>
      <c r="EZ25" s="171">
        <v>26514900</v>
      </c>
      <c r="FB25" s="165">
        <v>46006</v>
      </c>
      <c r="FC25" s="155" t="s">
        <v>312</v>
      </c>
      <c r="FD25" s="156" t="s">
        <v>135</v>
      </c>
      <c r="FE25" s="176">
        <v>128424</v>
      </c>
      <c r="FF25" s="176"/>
      <c r="FG25" s="171">
        <v>355058</v>
      </c>
      <c r="FX25" s="165">
        <v>45826</v>
      </c>
      <c r="FY25" s="178" t="s">
        <v>312</v>
      </c>
      <c r="FZ25" s="179" t="s">
        <v>320</v>
      </c>
      <c r="GA25" s="179">
        <v>600000</v>
      </c>
      <c r="GB25" s="168"/>
      <c r="GC25" s="171">
        <v>3600000</v>
      </c>
      <c r="GL25" s="165">
        <v>45832</v>
      </c>
      <c r="GM25" s="166" t="s">
        <v>312</v>
      </c>
      <c r="GN25" s="167" t="s">
        <v>319</v>
      </c>
      <c r="GO25" s="179">
        <v>110000</v>
      </c>
      <c r="GP25" s="168"/>
      <c r="GQ25" s="171">
        <v>660000</v>
      </c>
      <c r="HU25" s="165">
        <v>46012</v>
      </c>
      <c r="HV25" s="155" t="s">
        <v>312</v>
      </c>
      <c r="HW25" s="156" t="s">
        <v>135</v>
      </c>
      <c r="HX25" s="176">
        <v>7697338.1818181826</v>
      </c>
      <c r="HY25" s="176"/>
      <c r="HZ25" s="171">
        <v>24446098.829750698</v>
      </c>
    </row>
    <row r="26" spans="1:234">
      <c r="A26" s="233">
        <v>45676</v>
      </c>
      <c r="B26" s="41" t="s">
        <v>428</v>
      </c>
      <c r="C26" s="41">
        <v>2102</v>
      </c>
      <c r="D26" s="42">
        <v>0</v>
      </c>
      <c r="E26" s="56">
        <v>60000</v>
      </c>
      <c r="G26" t="str">
        <v>Utang Usaha</v>
      </c>
      <c r="H26" s="1">
        <v>13400</v>
      </c>
      <c r="I26" s="1">
        <v>8306039</v>
      </c>
      <c r="K26" s="32"/>
      <c r="M26" s="32">
        <v>46024</v>
      </c>
      <c r="N26" t="str">
        <v xml:space="preserve">   Utang Usaha</v>
      </c>
      <c r="O26">
        <v>2101</v>
      </c>
      <c r="P26" s="1">
        <v>0</v>
      </c>
      <c r="Q26" s="1">
        <v>5094900</v>
      </c>
      <c r="R26" s="1"/>
      <c r="S26" s="1" t="str">
        <v>Investasi Saham</v>
      </c>
      <c r="T26" s="1">
        <v>11000000</v>
      </c>
      <c r="U26" s="1">
        <v>0</v>
      </c>
      <c r="AK26" s="165">
        <v>45700</v>
      </c>
      <c r="AL26" s="155" t="s">
        <v>312</v>
      </c>
      <c r="AM26" s="182" t="s">
        <v>327</v>
      </c>
      <c r="AN26" s="167"/>
      <c r="AO26" s="168">
        <v>110000</v>
      </c>
      <c r="AP26" s="173">
        <v>13380000</v>
      </c>
      <c r="AY26" s="165">
        <v>45765</v>
      </c>
      <c r="AZ26" s="155" t="s">
        <v>312</v>
      </c>
      <c r="BA26" s="167" t="s">
        <v>135</v>
      </c>
      <c r="BB26" s="176">
        <v>2192250</v>
      </c>
      <c r="BC26" s="176"/>
      <c r="BD26" s="171">
        <v>16592250</v>
      </c>
      <c r="BM26" s="165">
        <v>46022</v>
      </c>
      <c r="BN26" s="155" t="s">
        <v>312</v>
      </c>
      <c r="BO26" s="156" t="s">
        <v>326</v>
      </c>
      <c r="BP26" s="176"/>
      <c r="BQ26" s="176">
        <v>104610.90909090909</v>
      </c>
      <c r="BR26" s="171">
        <v>24550709.738841608</v>
      </c>
      <c r="DD26" s="165">
        <v>46000</v>
      </c>
      <c r="DE26" s="166" t="s">
        <v>312</v>
      </c>
      <c r="DF26" s="167" t="s">
        <v>321</v>
      </c>
      <c r="DG26" s="176"/>
      <c r="DH26" s="176">
        <v>60000</v>
      </c>
      <c r="DI26" s="171">
        <v>420000</v>
      </c>
      <c r="DK26" s="165">
        <v>45758</v>
      </c>
      <c r="DL26" s="166" t="s">
        <v>312</v>
      </c>
      <c r="DM26" s="167" t="s">
        <v>322</v>
      </c>
      <c r="DN26" s="176"/>
      <c r="DO26" s="176">
        <v>540000</v>
      </c>
      <c r="DP26" s="171">
        <v>540000</v>
      </c>
      <c r="DZ26" s="165">
        <v>46006</v>
      </c>
      <c r="EA26" s="155" t="s">
        <v>312</v>
      </c>
      <c r="EB26" s="156" t="s">
        <v>135</v>
      </c>
      <c r="EC26" s="176"/>
      <c r="ED26" s="176">
        <v>794618.6</v>
      </c>
      <c r="EE26" s="171">
        <v>3711257.6</v>
      </c>
      <c r="EU26" s="165">
        <v>46006</v>
      </c>
      <c r="EV26" s="155" t="s">
        <v>312</v>
      </c>
      <c r="EW26" s="156" t="s">
        <v>326</v>
      </c>
      <c r="EX26" s="176"/>
      <c r="EY26" s="176">
        <v>7223805.4545454541</v>
      </c>
      <c r="EZ26" s="171">
        <v>33738705.454545453</v>
      </c>
      <c r="FB26" s="165">
        <v>46022</v>
      </c>
      <c r="FC26" s="166" t="s">
        <v>335</v>
      </c>
      <c r="FD26" s="167" t="s">
        <v>336</v>
      </c>
      <c r="FE26" s="176"/>
      <c r="FF26" s="176">
        <v>355058</v>
      </c>
      <c r="FG26" s="171">
        <v>0</v>
      </c>
      <c r="FX26" s="165">
        <v>46000</v>
      </c>
      <c r="FY26" s="178" t="s">
        <v>312</v>
      </c>
      <c r="FZ26" s="179" t="s">
        <v>320</v>
      </c>
      <c r="GA26" s="179">
        <v>600000</v>
      </c>
      <c r="GB26" s="168"/>
      <c r="GC26" s="171">
        <v>4200000</v>
      </c>
      <c r="GL26" s="165">
        <v>46003</v>
      </c>
      <c r="GM26" s="166" t="s">
        <v>312</v>
      </c>
      <c r="GN26" s="167" t="s">
        <v>319</v>
      </c>
      <c r="GO26" s="179">
        <v>110000</v>
      </c>
      <c r="GP26" s="168"/>
      <c r="GQ26" s="171">
        <v>770000</v>
      </c>
      <c r="HU26" s="165">
        <v>46022</v>
      </c>
      <c r="HV26" s="155" t="s">
        <v>312</v>
      </c>
      <c r="HW26" s="156" t="s">
        <v>135</v>
      </c>
      <c r="HX26" s="176">
        <v>104610.90909090909</v>
      </c>
      <c r="HY26" s="176"/>
      <c r="HZ26" s="171">
        <v>24550709.738841608</v>
      </c>
    </row>
    <row r="27" spans="1:234">
      <c r="A27" s="233">
        <v>45676</v>
      </c>
      <c r="B27" s="41" t="s">
        <v>429</v>
      </c>
      <c r="C27" s="41">
        <v>2103</v>
      </c>
      <c r="D27" s="42">
        <v>0</v>
      </c>
      <c r="E27" s="56">
        <v>540000</v>
      </c>
      <c r="G27" t="str">
        <v>Utang Pajak Gaji</v>
      </c>
      <c r="H27" s="1">
        <v>0</v>
      </c>
      <c r="I27" s="1">
        <v>585231.02727272734</v>
      </c>
      <c r="K27" s="32"/>
      <c r="M27" s="32">
        <v>46024</v>
      </c>
      <c r="N27" t="str">
        <v>Utang Usaha</v>
      </c>
      <c r="O27">
        <v>2101</v>
      </c>
      <c r="P27" s="1">
        <v>14900</v>
      </c>
      <c r="Q27" s="1">
        <v>0</v>
      </c>
      <c r="R27" s="1"/>
      <c r="S27" s="1" t="str">
        <v>Investasi Obligasi</v>
      </c>
      <c r="T27" s="1">
        <v>9353026.1394610498</v>
      </c>
      <c r="U27" s="1">
        <v>0</v>
      </c>
      <c r="AK27" s="165">
        <v>45700</v>
      </c>
      <c r="AL27" s="155" t="s">
        <v>312</v>
      </c>
      <c r="AM27" s="182" t="s">
        <v>323</v>
      </c>
      <c r="AN27" s="167"/>
      <c r="AO27" s="168">
        <v>2424915</v>
      </c>
      <c r="AP27" s="173">
        <v>10955085</v>
      </c>
      <c r="AY27" s="165">
        <v>45765</v>
      </c>
      <c r="AZ27" s="155" t="s">
        <v>312</v>
      </c>
      <c r="BA27" s="167" t="s">
        <v>140</v>
      </c>
      <c r="BB27" s="176"/>
      <c r="BC27" s="176">
        <v>22250</v>
      </c>
      <c r="BD27" s="171">
        <v>16570000</v>
      </c>
      <c r="DK27" s="165">
        <v>45764</v>
      </c>
      <c r="DL27" s="166" t="s">
        <v>312</v>
      </c>
      <c r="DM27" s="167" t="s">
        <v>324</v>
      </c>
      <c r="DN27" s="176">
        <v>540000</v>
      </c>
      <c r="DO27" s="176"/>
      <c r="DP27" s="171">
        <v>0</v>
      </c>
      <c r="EU27" s="165">
        <v>46022</v>
      </c>
      <c r="EV27" s="166" t="s">
        <v>335</v>
      </c>
      <c r="EW27" s="167" t="s">
        <v>336</v>
      </c>
      <c r="EX27" s="176">
        <v>33738705.454545453</v>
      </c>
      <c r="EY27" s="176"/>
      <c r="EZ27" s="171">
        <v>0</v>
      </c>
      <c r="FX27" s="165">
        <v>46022</v>
      </c>
      <c r="FY27" s="166" t="s">
        <v>335</v>
      </c>
      <c r="FZ27" s="167" t="s">
        <v>336</v>
      </c>
      <c r="GA27" s="167"/>
      <c r="GB27" s="168">
        <v>4200000</v>
      </c>
      <c r="GC27" s="171">
        <v>0</v>
      </c>
      <c r="GL27" s="165">
        <v>46022</v>
      </c>
      <c r="GM27" s="166" t="s">
        <v>335</v>
      </c>
      <c r="GN27" s="167" t="s">
        <v>336</v>
      </c>
      <c r="GO27" s="167"/>
      <c r="GP27" s="168">
        <v>770000</v>
      </c>
      <c r="GQ27" s="171">
        <v>0</v>
      </c>
      <c r="HU27" s="165">
        <v>46022</v>
      </c>
      <c r="HV27" s="166" t="s">
        <v>335</v>
      </c>
      <c r="HW27" s="167" t="s">
        <v>336</v>
      </c>
      <c r="HX27" s="176"/>
      <c r="HY27" s="176">
        <v>24550709.738841608</v>
      </c>
      <c r="HZ27" s="171">
        <v>0</v>
      </c>
    </row>
    <row r="28" spans="1:234">
      <c r="A28" s="233">
        <v>45677</v>
      </c>
      <c r="B28" s="41" t="s">
        <v>184</v>
      </c>
      <c r="C28" s="41">
        <v>1104</v>
      </c>
      <c r="D28" s="42">
        <v>1360000</v>
      </c>
      <c r="E28" s="56">
        <v>0</v>
      </c>
      <c r="G28" t="str">
        <v>Utang Gaji</v>
      </c>
      <c r="H28" s="1">
        <v>3780000</v>
      </c>
      <c r="I28" s="1">
        <v>3780000</v>
      </c>
      <c r="K28" s="32"/>
      <c r="M28" s="243">
        <v>46024</v>
      </c>
      <c r="N28" s="1" t="str">
        <v xml:space="preserve">   Diskon Pembelian</v>
      </c>
      <c r="O28" s="251">
        <v>1106</v>
      </c>
      <c r="P28" s="1">
        <v>0</v>
      </c>
      <c r="Q28" s="1">
        <v>14900</v>
      </c>
      <c r="R28" s="1"/>
      <c r="S28" s="1" t="str">
        <v>Utang Usaha</v>
      </c>
      <c r="T28" s="1">
        <v>15492</v>
      </c>
      <c r="U28" s="1">
        <v>24758989.375</v>
      </c>
      <c r="AK28" s="165">
        <v>45700</v>
      </c>
      <c r="AL28" s="155" t="s">
        <v>312</v>
      </c>
      <c r="AM28" s="182" t="s">
        <v>140</v>
      </c>
      <c r="AN28" s="167">
        <v>163415</v>
      </c>
      <c r="AO28" s="168"/>
      <c r="AP28" s="173">
        <v>11118500</v>
      </c>
      <c r="AY28" s="165">
        <v>45796</v>
      </c>
      <c r="AZ28" s="155" t="s">
        <v>312</v>
      </c>
      <c r="BA28" s="167" t="s">
        <v>135</v>
      </c>
      <c r="BB28" s="176">
        <v>7864905</v>
      </c>
      <c r="BC28" s="176"/>
      <c r="BD28" s="171">
        <v>24434905</v>
      </c>
      <c r="DK28" s="165">
        <v>45789</v>
      </c>
      <c r="DL28" s="166" t="s">
        <v>312</v>
      </c>
      <c r="DM28" s="167" t="s">
        <v>322</v>
      </c>
      <c r="DN28" s="176"/>
      <c r="DO28" s="176">
        <v>540000</v>
      </c>
      <c r="DP28" s="171">
        <v>540000</v>
      </c>
    </row>
    <row r="29" spans="1:234">
      <c r="A29" s="233">
        <v>45677</v>
      </c>
      <c r="B29" s="41" t="s">
        <v>398</v>
      </c>
      <c r="C29" s="41">
        <v>1101</v>
      </c>
      <c r="D29" s="42">
        <v>0</v>
      </c>
      <c r="E29" s="56">
        <v>1360000</v>
      </c>
      <c r="G29" t="str">
        <v>PPN Keluaran</v>
      </c>
      <c r="H29" s="1">
        <v>206842.77777777778</v>
      </c>
      <c r="I29" s="1">
        <v>3635082.6</v>
      </c>
      <c r="K29" s="32"/>
      <c r="M29" s="243">
        <v>46041</v>
      </c>
      <c r="N29" s="1" t="str">
        <v>Beban Tenaga Kerja Langsung</v>
      </c>
      <c r="O29" s="251">
        <v>5102</v>
      </c>
      <c r="P29" s="1">
        <v>600000</v>
      </c>
      <c r="Q29" s="1">
        <v>0</v>
      </c>
      <c r="R29" s="1"/>
      <c r="S29" s="1" t="str">
        <v>Utang Pajak Gaji</v>
      </c>
      <c r="T29" s="1">
        <v>0</v>
      </c>
      <c r="U29" s="1">
        <v>240000</v>
      </c>
      <c r="AK29" s="165">
        <v>45708</v>
      </c>
      <c r="AL29" s="155" t="s">
        <v>312</v>
      </c>
      <c r="AM29" s="182" t="s">
        <v>325</v>
      </c>
      <c r="AN29" s="167"/>
      <c r="AO29" s="168">
        <v>540000</v>
      </c>
      <c r="AP29" s="173">
        <v>10578500</v>
      </c>
      <c r="AY29" s="165">
        <v>45833</v>
      </c>
      <c r="AZ29" s="155" t="s">
        <v>312</v>
      </c>
      <c r="BA29" s="167" t="s">
        <v>135</v>
      </c>
      <c r="BB29" s="176">
        <v>4819509</v>
      </c>
      <c r="BC29" s="176"/>
      <c r="BD29" s="171">
        <v>29254414</v>
      </c>
      <c r="DK29" s="165">
        <v>45792</v>
      </c>
      <c r="DL29" s="166" t="s">
        <v>312</v>
      </c>
      <c r="DM29" s="167" t="s">
        <v>324</v>
      </c>
      <c r="DN29" s="176">
        <v>540000</v>
      </c>
      <c r="DO29" s="176"/>
      <c r="DP29" s="171">
        <v>0</v>
      </c>
    </row>
    <row r="30" spans="1:234">
      <c r="A30" s="233">
        <v>45680</v>
      </c>
      <c r="B30" s="41" t="s">
        <v>196</v>
      </c>
      <c r="C30" s="41">
        <v>2103</v>
      </c>
      <c r="D30" s="42">
        <v>540000</v>
      </c>
      <c r="E30" s="56">
        <v>0</v>
      </c>
      <c r="G30" t="str">
        <v>Modal</v>
      </c>
      <c r="H30" s="1">
        <v>0</v>
      </c>
      <c r="I30" s="1">
        <v>18000000</v>
      </c>
      <c r="K30" s="32"/>
      <c r="M30" s="243">
        <v>46041</v>
      </c>
      <c r="N30" s="1" t="str">
        <v xml:space="preserve">   Utang Pajak Gaji</v>
      </c>
      <c r="O30" s="251">
        <v>2102</v>
      </c>
      <c r="P30" s="1">
        <v>0</v>
      </c>
      <c r="Q30" s="1">
        <v>60000</v>
      </c>
      <c r="R30" s="1"/>
      <c r="S30" s="1" t="str">
        <v>Utang Gaji</v>
      </c>
      <c r="T30" s="1">
        <v>2160000</v>
      </c>
      <c r="U30" s="1">
        <v>2160000</v>
      </c>
      <c r="AK30" s="165">
        <v>45726</v>
      </c>
      <c r="AL30" s="155" t="s">
        <v>312</v>
      </c>
      <c r="AM30" s="182" t="s">
        <v>323</v>
      </c>
      <c r="AN30" s="167"/>
      <c r="AO30" s="168">
        <v>4469500</v>
      </c>
      <c r="AP30" s="173">
        <v>6109000</v>
      </c>
      <c r="AY30" s="165">
        <v>45833</v>
      </c>
      <c r="AZ30" s="155" t="s">
        <v>312</v>
      </c>
      <c r="BA30" s="167" t="s">
        <v>140</v>
      </c>
      <c r="BB30" s="176"/>
      <c r="BC30" s="176">
        <v>49509</v>
      </c>
      <c r="BD30" s="171">
        <v>29204905</v>
      </c>
      <c r="DK30" s="165">
        <v>45826</v>
      </c>
      <c r="DL30" s="166" t="s">
        <v>312</v>
      </c>
      <c r="DM30" s="167" t="s">
        <v>322</v>
      </c>
      <c r="DN30" s="176"/>
      <c r="DO30" s="176">
        <v>540000</v>
      </c>
      <c r="DP30" s="171">
        <v>540000</v>
      </c>
    </row>
    <row r="31" spans="1:234">
      <c r="A31" s="233">
        <v>45680</v>
      </c>
      <c r="B31" s="41" t="s">
        <v>398</v>
      </c>
      <c r="C31" s="41">
        <v>1101</v>
      </c>
      <c r="D31" s="42">
        <v>0</v>
      </c>
      <c r="E31" s="56">
        <v>540000</v>
      </c>
      <c r="G31" t="str">
        <v>Laba Ditahan</v>
      </c>
      <c r="H31" s="1">
        <v>0</v>
      </c>
      <c r="I31" s="1">
        <v>11655026.969816402</v>
      </c>
      <c r="K31" s="32"/>
      <c r="M31" s="243">
        <v>46041</v>
      </c>
      <c r="N31" s="1" t="str">
        <v xml:space="preserve">   Utang Gaji</v>
      </c>
      <c r="O31" s="251">
        <v>2103</v>
      </c>
      <c r="P31" s="1">
        <v>0</v>
      </c>
      <c r="Q31" s="1">
        <v>540000</v>
      </c>
      <c r="R31" s="1"/>
      <c r="S31" s="1" t="str">
        <v>Utang Bank</v>
      </c>
      <c r="T31" s="1">
        <v>0</v>
      </c>
      <c r="U31" s="1">
        <v>498214.64719276788</v>
      </c>
      <c r="AK31" s="165">
        <v>45726</v>
      </c>
      <c r="AL31" s="155" t="s">
        <v>312</v>
      </c>
      <c r="AM31" s="182" t="s">
        <v>140</v>
      </c>
      <c r="AN31" s="167">
        <v>219500</v>
      </c>
      <c r="AO31" s="168"/>
      <c r="AP31" s="173">
        <v>6328500</v>
      </c>
      <c r="AY31" s="165">
        <v>46006</v>
      </c>
      <c r="AZ31" s="155" t="s">
        <v>312</v>
      </c>
      <c r="BA31" s="167" t="s">
        <v>135</v>
      </c>
      <c r="BB31" s="176">
        <v>8018424.0545454547</v>
      </c>
      <c r="BC31" s="176"/>
      <c r="BD31" s="171">
        <v>37223329.054545455</v>
      </c>
      <c r="DK31" s="165">
        <v>45828</v>
      </c>
      <c r="DL31" s="166" t="s">
        <v>312</v>
      </c>
      <c r="DM31" s="167" t="s">
        <v>324</v>
      </c>
      <c r="DN31" s="176">
        <v>540000</v>
      </c>
      <c r="DO31" s="176"/>
      <c r="DP31" s="171">
        <v>0</v>
      </c>
    </row>
    <row r="32" spans="1:234">
      <c r="A32" s="233">
        <v>45682</v>
      </c>
      <c r="B32" s="41" t="s">
        <v>183</v>
      </c>
      <c r="C32" s="41">
        <v>1103</v>
      </c>
      <c r="D32" s="42">
        <v>3771780</v>
      </c>
      <c r="E32" s="56">
        <v>0</v>
      </c>
      <c r="G32" t="str">
        <v>Penjualan Produk Garment</v>
      </c>
      <c r="H32" s="1">
        <v>33046205.454545453</v>
      </c>
      <c r="I32" s="1">
        <v>33046205.454545453</v>
      </c>
      <c r="K32" s="32"/>
      <c r="M32" s="243">
        <v>46047</v>
      </c>
      <c r="N32" s="1" t="str">
        <v>Utang Gaji</v>
      </c>
      <c r="O32" s="251">
        <v>2103</v>
      </c>
      <c r="P32" s="1">
        <v>540000</v>
      </c>
      <c r="Q32" s="1">
        <v>0</v>
      </c>
      <c r="R32" s="1"/>
      <c r="S32" s="1" t="str">
        <v>Utang Obligasi</v>
      </c>
      <c r="T32" s="1">
        <v>0</v>
      </c>
      <c r="U32" s="1">
        <v>10000000</v>
      </c>
      <c r="AK32" s="165">
        <v>45726</v>
      </c>
      <c r="AL32" s="155" t="s">
        <v>312</v>
      </c>
      <c r="AM32" s="182" t="s">
        <v>325</v>
      </c>
      <c r="AN32" s="167"/>
      <c r="AO32" s="168">
        <v>540000</v>
      </c>
      <c r="AP32" s="173">
        <v>5788500</v>
      </c>
      <c r="AY32" s="165">
        <v>46006</v>
      </c>
      <c r="AZ32" s="155" t="s">
        <v>312</v>
      </c>
      <c r="BA32" s="167" t="s">
        <v>140</v>
      </c>
      <c r="BB32" s="176"/>
      <c r="BC32" s="176">
        <v>128424</v>
      </c>
      <c r="BD32" s="171">
        <v>37094905.054545455</v>
      </c>
      <c r="DK32" s="165">
        <v>46000</v>
      </c>
      <c r="DL32" s="166" t="s">
        <v>312</v>
      </c>
      <c r="DM32" s="167" t="s">
        <v>322</v>
      </c>
      <c r="DN32" s="176"/>
      <c r="DO32" s="176">
        <v>540000</v>
      </c>
      <c r="DP32" s="171">
        <v>540000</v>
      </c>
    </row>
    <row r="33" spans="1:120">
      <c r="A33" s="233">
        <v>45682</v>
      </c>
      <c r="B33" s="41" t="s">
        <v>149</v>
      </c>
      <c r="C33" s="41">
        <v>4101</v>
      </c>
      <c r="D33" s="42">
        <v>0</v>
      </c>
      <c r="E33" s="56">
        <v>3398000</v>
      </c>
      <c r="G33" t="str">
        <v>Retur Penjualan</v>
      </c>
      <c r="H33" s="1">
        <v>1880388.888888889</v>
      </c>
      <c r="I33" s="1">
        <v>1880388.888888889</v>
      </c>
      <c r="K33" s="32"/>
      <c r="M33" s="243">
        <v>46047</v>
      </c>
      <c r="N33" s="1" t="str">
        <v xml:space="preserve">   Kas</v>
      </c>
      <c r="O33" s="251">
        <v>1101</v>
      </c>
      <c r="P33" s="1">
        <v>0</v>
      </c>
      <c r="Q33" s="1">
        <v>540000</v>
      </c>
      <c r="R33" s="1"/>
      <c r="S33" s="1" t="str">
        <v>PPN Keluaran</v>
      </c>
      <c r="T33" s="1">
        <v>1219042</v>
      </c>
      <c r="U33" s="1">
        <v>5129845.5999999996</v>
      </c>
      <c r="AK33" s="165">
        <v>45726</v>
      </c>
      <c r="AL33" s="155" t="s">
        <v>312</v>
      </c>
      <c r="AM33" s="182" t="s">
        <v>327</v>
      </c>
      <c r="AN33" s="167"/>
      <c r="AO33" s="168">
        <v>110000</v>
      </c>
      <c r="AP33" s="173">
        <v>5678500</v>
      </c>
      <c r="AY33" s="165">
        <v>46022</v>
      </c>
      <c r="AZ33" s="155" t="s">
        <v>312</v>
      </c>
      <c r="BA33" s="167" t="s">
        <v>331</v>
      </c>
      <c r="BB33" s="176"/>
      <c r="BC33" s="176">
        <v>1511318.9726775959</v>
      </c>
      <c r="BD33" s="171">
        <v>35583586.081867859</v>
      </c>
      <c r="DK33" s="165">
        <v>46003</v>
      </c>
      <c r="DL33" s="166" t="s">
        <v>312</v>
      </c>
      <c r="DM33" s="167" t="s">
        <v>324</v>
      </c>
      <c r="DN33" s="176">
        <v>540000</v>
      </c>
      <c r="DO33" s="176"/>
      <c r="DP33" s="171">
        <v>0</v>
      </c>
    </row>
    <row r="34" spans="1:120">
      <c r="A34" s="233">
        <v>45682</v>
      </c>
      <c r="B34" s="41" t="s">
        <v>151</v>
      </c>
      <c r="C34" s="41">
        <v>2106</v>
      </c>
      <c r="D34" s="42">
        <v>0</v>
      </c>
      <c r="E34" s="56">
        <v>373780</v>
      </c>
      <c r="G34" t="str">
        <v>Diskon Penjualan</v>
      </c>
      <c r="H34" s="1">
        <v>409963</v>
      </c>
      <c r="I34" s="1">
        <v>409963</v>
      </c>
      <c r="K34" s="32"/>
      <c r="M34" s="243">
        <v>46047</v>
      </c>
      <c r="N34" s="1" t="str">
        <v>Beban Utilitas</v>
      </c>
      <c r="O34" s="251">
        <v>5104</v>
      </c>
      <c r="P34" s="1">
        <v>110000</v>
      </c>
      <c r="Q34" s="1">
        <v>0</v>
      </c>
      <c r="R34" s="1"/>
      <c r="S34" s="1" t="str">
        <v>Premi Obligasi</v>
      </c>
      <c r="T34" s="1">
        <v>49673.3855484839</v>
      </c>
      <c r="U34" s="1">
        <v>1134740.4406683929</v>
      </c>
      <c r="AK34" s="165">
        <v>45754</v>
      </c>
      <c r="AL34" s="155" t="s">
        <v>312</v>
      </c>
      <c r="AM34" s="182" t="s">
        <v>323</v>
      </c>
      <c r="AN34" s="167"/>
      <c r="AO34" s="168">
        <v>1410000</v>
      </c>
      <c r="AP34" s="173">
        <v>4268500</v>
      </c>
      <c r="AY34" s="165">
        <v>46022</v>
      </c>
      <c r="AZ34" s="155" t="s">
        <v>312</v>
      </c>
      <c r="BA34" s="167" t="s">
        <v>135</v>
      </c>
      <c r="BB34" s="176">
        <v>20922.18181818182</v>
      </c>
      <c r="BC34" s="176"/>
      <c r="BD34" s="171">
        <v>35604508.263686039</v>
      </c>
    </row>
    <row r="35" spans="1:120">
      <c r="A35" s="233">
        <v>45682</v>
      </c>
      <c r="B35" s="41" t="s">
        <v>146</v>
      </c>
      <c r="C35" s="41">
        <v>4103</v>
      </c>
      <c r="D35" s="42">
        <v>21780</v>
      </c>
      <c r="E35" s="56">
        <v>0</v>
      </c>
      <c r="G35" t="str">
        <v>Beban Tenaga Kerja Langsung</v>
      </c>
      <c r="H35" s="1">
        <v>4200000</v>
      </c>
      <c r="I35" s="1">
        <v>4200000</v>
      </c>
      <c r="K35" s="32"/>
      <c r="M35" s="243">
        <v>46047</v>
      </c>
      <c r="N35" s="1" t="str">
        <v xml:space="preserve">   Kas</v>
      </c>
      <c r="O35" s="251">
        <v>1101</v>
      </c>
      <c r="P35" s="1">
        <v>0</v>
      </c>
      <c r="Q35" s="1">
        <v>110000</v>
      </c>
      <c r="R35" s="1"/>
      <c r="S35" s="1" t="str">
        <v>Wesel Bayar</v>
      </c>
      <c r="T35" s="1">
        <v>67684.805998904179</v>
      </c>
      <c r="U35" s="1">
        <v>5000000</v>
      </c>
      <c r="AK35" s="165">
        <v>45764</v>
      </c>
      <c r="AL35" s="166" t="s">
        <v>312</v>
      </c>
      <c r="AM35" s="182" t="s">
        <v>325</v>
      </c>
      <c r="AN35" s="167"/>
      <c r="AO35" s="168">
        <v>540000</v>
      </c>
      <c r="AP35" s="173">
        <v>3728500</v>
      </c>
    </row>
    <row r="36" spans="1:120">
      <c r="A36" s="233">
        <v>45682</v>
      </c>
      <c r="B36" s="41" t="s">
        <v>425</v>
      </c>
      <c r="C36" s="41">
        <v>1103</v>
      </c>
      <c r="D36" s="42">
        <v>0</v>
      </c>
      <c r="E36" s="56">
        <v>21780</v>
      </c>
      <c r="G36" t="str">
        <v>Beban Utilitas</v>
      </c>
      <c r="H36" s="1">
        <v>770000</v>
      </c>
      <c r="I36" s="1">
        <v>770000</v>
      </c>
      <c r="K36" s="32"/>
      <c r="M36" s="243">
        <v>46048</v>
      </c>
      <c r="N36" s="1" t="str">
        <v>Piutang Usaha</v>
      </c>
      <c r="O36" s="251">
        <v>1103</v>
      </c>
      <c r="P36" s="1">
        <v>7686750</v>
      </c>
      <c r="Q36" s="1">
        <v>0</v>
      </c>
      <c r="R36" s="1"/>
      <c r="S36" s="1" t="str">
        <v>Utang Kontinjensi Pemasaran</v>
      </c>
      <c r="T36" s="1">
        <v>9841585.6000000015</v>
      </c>
      <c r="U36" s="1">
        <v>16238737.6</v>
      </c>
      <c r="AK36" s="165">
        <v>45765</v>
      </c>
      <c r="AL36" s="166" t="s">
        <v>312</v>
      </c>
      <c r="AM36" s="182" t="s">
        <v>327</v>
      </c>
      <c r="AN36" s="167"/>
      <c r="AO36" s="168">
        <v>110000</v>
      </c>
      <c r="AP36" s="173">
        <v>3618500</v>
      </c>
    </row>
    <row r="37" spans="1:120">
      <c r="A37" s="233">
        <v>45683</v>
      </c>
      <c r="B37" s="41" t="s">
        <v>125</v>
      </c>
      <c r="C37" s="41">
        <v>5109</v>
      </c>
      <c r="D37" s="42">
        <v>1292000</v>
      </c>
      <c r="E37" s="56">
        <v>0</v>
      </c>
      <c r="G37" t="str">
        <v>Beban Penyusutan</v>
      </c>
      <c r="H37" s="1">
        <v>400000</v>
      </c>
      <c r="I37" s="1">
        <v>400000</v>
      </c>
      <c r="K37" s="32"/>
      <c r="M37" s="243">
        <v>46048</v>
      </c>
      <c r="N37" s="1" t="str">
        <v xml:space="preserve">   Penjualan Produk Garment</v>
      </c>
      <c r="O37" s="251">
        <v>4101</v>
      </c>
      <c r="P37" s="1">
        <v>0</v>
      </c>
      <c r="Q37" s="1">
        <v>6925000</v>
      </c>
      <c r="R37" s="1"/>
      <c r="S37" s="1" t="str">
        <v>Utang Dividen</v>
      </c>
      <c r="T37" s="1">
        <v>0</v>
      </c>
      <c r="U37" s="1">
        <v>320000</v>
      </c>
      <c r="AK37" s="165">
        <v>45792</v>
      </c>
      <c r="AL37" s="166" t="s">
        <v>312</v>
      </c>
      <c r="AM37" s="182" t="s">
        <v>325</v>
      </c>
      <c r="AN37" s="167"/>
      <c r="AO37" s="168">
        <v>540000</v>
      </c>
      <c r="AP37" s="173">
        <v>3078500</v>
      </c>
    </row>
    <row r="38" spans="1:120">
      <c r="A38" s="233">
        <v>45683</v>
      </c>
      <c r="B38" s="41" t="s">
        <v>424</v>
      </c>
      <c r="C38" s="41">
        <v>1104</v>
      </c>
      <c r="D38" s="42">
        <v>0</v>
      </c>
      <c r="E38" s="56">
        <v>1292000</v>
      </c>
      <c r="G38" t="str">
        <v>Beban Pokok Penjualan</v>
      </c>
      <c r="H38" s="1">
        <v>15275040.01301188</v>
      </c>
      <c r="I38" s="1">
        <v>15275040.01301188</v>
      </c>
      <c r="K38" s="32"/>
      <c r="M38" s="243">
        <v>46048</v>
      </c>
      <c r="N38" s="1" t="str">
        <v xml:space="preserve">   PPN Keluaran</v>
      </c>
      <c r="O38" s="251">
        <v>2106</v>
      </c>
      <c r="P38" s="1">
        <v>0</v>
      </c>
      <c r="Q38" s="1">
        <v>761750</v>
      </c>
      <c r="R38" s="1"/>
      <c r="S38" s="1" t="str">
        <v>Modal</v>
      </c>
      <c r="T38" s="1">
        <v>38339090.518256053</v>
      </c>
      <c r="U38" s="1">
        <v>51559090.518256053</v>
      </c>
      <c r="AK38" s="165">
        <v>45792</v>
      </c>
      <c r="AL38" s="166" t="s">
        <v>312</v>
      </c>
      <c r="AM38" s="182" t="s">
        <v>327</v>
      </c>
      <c r="AN38" s="167"/>
      <c r="AO38" s="168">
        <v>110000</v>
      </c>
      <c r="AP38" s="173">
        <v>2968500</v>
      </c>
    </row>
    <row r="39" spans="1:120">
      <c r="A39" s="233">
        <v>45700</v>
      </c>
      <c r="B39" s="41" t="s">
        <v>417</v>
      </c>
      <c r="C39" s="41">
        <v>5104</v>
      </c>
      <c r="D39" s="42">
        <v>110000</v>
      </c>
      <c r="E39" s="56">
        <v>0</v>
      </c>
      <c r="G39" t="str">
        <v>Beban Pph Badan</v>
      </c>
      <c r="H39" s="1">
        <v>165231.02727272728</v>
      </c>
      <c r="I39" s="1">
        <v>165231.02727272728</v>
      </c>
      <c r="K39" s="32"/>
      <c r="M39" s="243">
        <v>46048</v>
      </c>
      <c r="N39" s="1" t="str">
        <v>Diskon Penjualan</v>
      </c>
      <c r="O39" s="251">
        <v>4103</v>
      </c>
      <c r="P39" s="1">
        <v>126750</v>
      </c>
      <c r="Q39" s="1">
        <v>0</v>
      </c>
      <c r="R39" s="1"/>
      <c r="S39" s="1" t="str">
        <v>Laba Ditahan</v>
      </c>
      <c r="T39" s="1">
        <v>320000</v>
      </c>
      <c r="U39" s="1">
        <v>0</v>
      </c>
      <c r="AK39" s="165">
        <v>45828</v>
      </c>
      <c r="AL39" s="166" t="s">
        <v>312</v>
      </c>
      <c r="AM39" s="182" t="s">
        <v>325</v>
      </c>
      <c r="AN39" s="167"/>
      <c r="AO39" s="168">
        <v>540000</v>
      </c>
      <c r="AP39" s="173">
        <v>2428500</v>
      </c>
    </row>
    <row r="40" spans="1:120">
      <c r="A40" s="233">
        <v>45700</v>
      </c>
      <c r="B40" s="41" t="s">
        <v>398</v>
      </c>
      <c r="C40" s="41">
        <v>1101</v>
      </c>
      <c r="D40" s="42">
        <v>0</v>
      </c>
      <c r="E40" s="56">
        <v>110000</v>
      </c>
      <c r="G40" t="str">
        <v>Ikhtisar Laba Rugi</v>
      </c>
      <c r="H40" s="240">
        <v>33046205.454545453</v>
      </c>
      <c r="I40" s="240">
        <v>33046205.454545453</v>
      </c>
      <c r="K40" s="32"/>
      <c r="M40" s="243">
        <v>46048</v>
      </c>
      <c r="N40" s="1" t="str">
        <v xml:space="preserve">   Piutang Usaha</v>
      </c>
      <c r="O40" s="251">
        <v>1103</v>
      </c>
      <c r="P40" s="1">
        <v>0</v>
      </c>
      <c r="Q40" s="1">
        <v>126750</v>
      </c>
      <c r="R40" s="1"/>
      <c r="S40" s="1" t="str">
        <v>Premi Saham-Biasa</v>
      </c>
      <c r="T40" s="1">
        <v>2970000</v>
      </c>
      <c r="U40" s="1">
        <v>4566000</v>
      </c>
      <c r="AK40" s="165">
        <v>45832</v>
      </c>
      <c r="AL40" s="166" t="s">
        <v>312</v>
      </c>
      <c r="AM40" s="182" t="s">
        <v>327</v>
      </c>
      <c r="AN40" s="167"/>
      <c r="AO40" s="168">
        <v>110000</v>
      </c>
      <c r="AP40" s="173">
        <v>2318500</v>
      </c>
    </row>
    <row r="41" spans="1:120">
      <c r="A41" s="233">
        <v>45700</v>
      </c>
      <c r="B41" s="41" t="s">
        <v>184</v>
      </c>
      <c r="C41" s="41">
        <v>1104</v>
      </c>
      <c r="D41" s="42">
        <v>2261500</v>
      </c>
      <c r="E41" s="56">
        <v>0</v>
      </c>
      <c r="G41" s="4" t="str">
        <v/>
      </c>
      <c r="H41" s="100">
        <v>170437378.11503208</v>
      </c>
      <c r="I41" s="100">
        <v>170437378.11503208</v>
      </c>
      <c r="J41" s="1"/>
      <c r="K41" s="243"/>
      <c r="L41" s="1"/>
      <c r="M41" s="243">
        <v>46048</v>
      </c>
      <c r="N41" s="1" t="str">
        <v>Beban Pokok Penjualan</v>
      </c>
      <c r="O41" s="251">
        <v>5109</v>
      </c>
      <c r="P41" s="1">
        <v>4230000</v>
      </c>
      <c r="Q41" s="1">
        <v>0</v>
      </c>
      <c r="R41" s="1"/>
      <c r="S41" s="1" t="str">
        <v>Penjualan Produk Garment</v>
      </c>
      <c r="T41" s="1">
        <v>0</v>
      </c>
      <c r="U41" s="1">
        <v>53239904</v>
      </c>
      <c r="AK41" s="165">
        <v>46003</v>
      </c>
      <c r="AL41" s="166" t="s">
        <v>312</v>
      </c>
      <c r="AM41" s="182" t="s">
        <v>325</v>
      </c>
      <c r="AN41" s="167"/>
      <c r="AO41" s="168">
        <v>540000</v>
      </c>
      <c r="AP41" s="173">
        <v>1778500</v>
      </c>
      <c r="AW41" s="32"/>
      <c r="BG41" s="32"/>
      <c r="BI41" s="1"/>
      <c r="BJ41" s="1"/>
      <c r="BL41" s="32"/>
      <c r="BN41" s="1"/>
      <c r="BO41" s="1"/>
      <c r="BP41" s="1"/>
    </row>
    <row r="42" spans="1:120">
      <c r="A42" s="233">
        <v>45700</v>
      </c>
      <c r="B42" s="41" t="s">
        <v>150</v>
      </c>
      <c r="C42" s="41">
        <v>1114</v>
      </c>
      <c r="D42" s="42">
        <v>163415</v>
      </c>
      <c r="E42" s="56">
        <v>0</v>
      </c>
      <c r="I42" s="1"/>
      <c r="J42" s="1"/>
      <c r="K42" s="243"/>
      <c r="L42" s="1"/>
      <c r="M42" s="243">
        <v>46048</v>
      </c>
      <c r="N42" s="1" t="str">
        <v xml:space="preserve">   Persediaan Bahan Baku</v>
      </c>
      <c r="O42" s="251">
        <v>1104</v>
      </c>
      <c r="P42" s="1">
        <v>0</v>
      </c>
      <c r="Q42" s="1">
        <v>4230000</v>
      </c>
      <c r="R42" s="1"/>
      <c r="S42" s="1" t="str">
        <v>Retur Penjualan</v>
      </c>
      <c r="T42" s="1">
        <v>19338380</v>
      </c>
      <c r="U42" s="1">
        <v>0</v>
      </c>
      <c r="AK42" s="165">
        <v>46003</v>
      </c>
      <c r="AL42" s="166" t="s">
        <v>312</v>
      </c>
      <c r="AM42" s="182" t="s">
        <v>327</v>
      </c>
      <c r="AN42" s="167"/>
      <c r="AO42" s="168">
        <v>110000</v>
      </c>
      <c r="AP42" s="173">
        <v>1668500</v>
      </c>
      <c r="AW42" s="32"/>
      <c r="BG42" s="32"/>
      <c r="BI42" s="1"/>
      <c r="BJ42" s="1"/>
      <c r="BL42" s="32"/>
      <c r="BN42" s="1"/>
      <c r="BO42" s="1"/>
      <c r="BP42" s="1"/>
    </row>
    <row r="43" spans="1:120">
      <c r="A43" s="233">
        <v>45700</v>
      </c>
      <c r="B43" s="41" t="s">
        <v>398</v>
      </c>
      <c r="C43" s="41">
        <v>1101</v>
      </c>
      <c r="D43" s="42">
        <v>0</v>
      </c>
      <c r="E43" s="56">
        <v>2424915</v>
      </c>
      <c r="I43" s="1"/>
      <c r="J43" s="1"/>
      <c r="K43" s="243"/>
      <c r="L43" s="1"/>
      <c r="M43" s="243">
        <v>46049</v>
      </c>
      <c r="N43" s="1" t="str">
        <v>Beban Pemasaran &amp; Iklan</v>
      </c>
      <c r="O43" s="251">
        <v>5106</v>
      </c>
      <c r="P43" s="1">
        <v>740</v>
      </c>
      <c r="Q43" s="1">
        <v>0</v>
      </c>
      <c r="R43" s="1"/>
      <c r="S43" s="1" t="str">
        <v>Diskon Penjualan</v>
      </c>
      <c r="T43" s="1">
        <v>593812</v>
      </c>
      <c r="U43" s="1">
        <v>999422</v>
      </c>
      <c r="AW43" s="32"/>
      <c r="BG43" s="32"/>
      <c r="BI43" s="1"/>
      <c r="BJ43" s="1"/>
      <c r="BL43" s="32"/>
      <c r="BN43" s="1"/>
      <c r="BO43" s="1"/>
      <c r="BP43" s="1"/>
    </row>
    <row r="44" spans="1:120">
      <c r="A44" s="233">
        <v>45700</v>
      </c>
      <c r="B44" s="41" t="s">
        <v>187</v>
      </c>
      <c r="C44" s="41">
        <v>1101</v>
      </c>
      <c r="D44" s="42">
        <v>163415</v>
      </c>
      <c r="E44" s="56">
        <v>0</v>
      </c>
      <c r="I44" s="1"/>
      <c r="J44" s="1"/>
      <c r="K44" s="243"/>
      <c r="L44" s="1"/>
      <c r="M44" s="243">
        <v>46049</v>
      </c>
      <c r="N44" s="1" t="str">
        <v xml:space="preserve">   Utang Usaha</v>
      </c>
      <c r="O44" s="251">
        <v>2101</v>
      </c>
      <c r="P44" s="1">
        <v>0</v>
      </c>
      <c r="Q44" s="1">
        <v>740</v>
      </c>
      <c r="R44" s="1"/>
      <c r="S44" s="1" t="str">
        <v>Pendapatan Lain-lain</v>
      </c>
      <c r="T44" s="1">
        <v>0</v>
      </c>
      <c r="U44" s="1">
        <v>31976722.859128028</v>
      </c>
      <c r="AW44" s="32"/>
      <c r="BG44" s="32"/>
      <c r="BI44" s="1"/>
      <c r="BJ44" s="1"/>
      <c r="BL44" s="32"/>
      <c r="BN44" s="1"/>
      <c r="BO44" s="1"/>
      <c r="BP44" s="1"/>
    </row>
    <row r="45" spans="1:120">
      <c r="A45" s="233">
        <v>45700</v>
      </c>
      <c r="B45" s="41" t="s">
        <v>123</v>
      </c>
      <c r="C45" s="41">
        <v>1106</v>
      </c>
      <c r="D45" s="42">
        <v>0</v>
      </c>
      <c r="E45" s="56">
        <v>163415</v>
      </c>
      <c r="I45" s="1"/>
      <c r="J45" s="1"/>
      <c r="K45" s="243"/>
      <c r="L45" s="1"/>
      <c r="M45" s="243">
        <v>46053</v>
      </c>
      <c r="N45" s="1" t="str">
        <v>Utang Usaha</v>
      </c>
      <c r="O45" s="251">
        <v>2101</v>
      </c>
      <c r="P45" s="1">
        <v>296</v>
      </c>
      <c r="Q45" s="1">
        <v>0</v>
      </c>
      <c r="R45" s="1"/>
      <c r="S45" s="1" t="str">
        <v>Pendapatan Bunga</v>
      </c>
      <c r="T45" s="1">
        <v>0</v>
      </c>
      <c r="U45" s="1">
        <v>419543.24723230896</v>
      </c>
      <c r="AW45" s="32"/>
      <c r="BG45" s="32"/>
      <c r="BI45" s="1"/>
      <c r="BJ45" s="1"/>
      <c r="BL45" s="32"/>
      <c r="BN45" s="1"/>
      <c r="BO45" s="1"/>
      <c r="BP45" s="1"/>
    </row>
    <row r="46" spans="1:120">
      <c r="A46" s="233">
        <v>45707</v>
      </c>
      <c r="B46" s="41" t="s">
        <v>415</v>
      </c>
      <c r="C46" s="41">
        <v>5102</v>
      </c>
      <c r="D46" s="42">
        <v>600000</v>
      </c>
      <c r="E46" s="56">
        <v>0</v>
      </c>
      <c r="I46" s="1"/>
      <c r="J46" s="1"/>
      <c r="K46" s="243"/>
      <c r="L46" s="1"/>
      <c r="M46" s="243">
        <v>46053</v>
      </c>
      <c r="N46" s="1" t="str">
        <v xml:space="preserve">   Pendapatan Lain-lain</v>
      </c>
      <c r="O46" s="251">
        <v>4103</v>
      </c>
      <c r="P46" s="1">
        <v>0</v>
      </c>
      <c r="Q46" s="1">
        <v>296</v>
      </c>
      <c r="R46" s="1"/>
      <c r="S46" s="1" t="str">
        <v>Beban Tenaga Kerja Langsung</v>
      </c>
      <c r="T46" s="1">
        <v>2400000</v>
      </c>
      <c r="U46" s="1">
        <v>0</v>
      </c>
      <c r="AW46" s="32"/>
      <c r="BG46" s="32"/>
      <c r="BI46" s="1"/>
      <c r="BJ46" s="1"/>
      <c r="BL46" s="32"/>
      <c r="BN46" s="1"/>
      <c r="BO46" s="1"/>
      <c r="BP46" s="1"/>
    </row>
    <row r="47" spans="1:120">
      <c r="A47" s="233">
        <v>45707</v>
      </c>
      <c r="B47" s="41" t="s">
        <v>428</v>
      </c>
      <c r="C47" s="41">
        <v>2102</v>
      </c>
      <c r="D47" s="42">
        <v>0</v>
      </c>
      <c r="E47" s="56">
        <v>60000</v>
      </c>
      <c r="I47" s="1"/>
      <c r="J47" s="1"/>
      <c r="K47" s="243"/>
      <c r="L47" s="1"/>
      <c r="M47" s="243">
        <v>46056</v>
      </c>
      <c r="N47" s="1" t="str">
        <v>Beban Bunga</v>
      </c>
      <c r="O47" s="251">
        <v>5110</v>
      </c>
      <c r="P47" s="1">
        <v>167021.10661002589</v>
      </c>
      <c r="Q47" s="1">
        <v>0</v>
      </c>
      <c r="R47" s="1"/>
      <c r="S47" s="1" t="str">
        <v>Beban Utilitas</v>
      </c>
      <c r="T47" s="1">
        <v>440000</v>
      </c>
      <c r="U47" s="1">
        <v>0</v>
      </c>
      <c r="AW47" s="32"/>
      <c r="BG47" s="32"/>
      <c r="BI47" s="1"/>
      <c r="BJ47" s="1"/>
      <c r="BL47" s="32"/>
      <c r="BN47" s="1"/>
      <c r="BO47" s="1"/>
      <c r="BP47" s="1"/>
    </row>
    <row r="48" spans="1:120">
      <c r="A48" s="233">
        <v>45707</v>
      </c>
      <c r="B48" s="41" t="s">
        <v>429</v>
      </c>
      <c r="C48" s="41">
        <v>2103</v>
      </c>
      <c r="D48" s="42">
        <v>0</v>
      </c>
      <c r="E48" s="56">
        <v>540000</v>
      </c>
      <c r="I48" s="1"/>
      <c r="J48" s="1"/>
      <c r="K48" s="243"/>
      <c r="L48" s="1"/>
      <c r="M48" s="243">
        <v>46056</v>
      </c>
      <c r="N48" s="1" t="str">
        <v>Premi Obligasi</v>
      </c>
      <c r="O48" s="251">
        <v>2106</v>
      </c>
      <c r="P48" s="1">
        <v>16311.89338997411</v>
      </c>
      <c r="Q48" s="1">
        <v>0</v>
      </c>
      <c r="R48" s="1"/>
      <c r="S48" s="1" t="str">
        <v>Beban Pemasaran &amp; Iklan</v>
      </c>
      <c r="T48" s="1">
        <v>16240217.6</v>
      </c>
      <c r="U48" s="1">
        <v>0</v>
      </c>
      <c r="AW48" s="32"/>
      <c r="BG48" s="32"/>
      <c r="BI48" s="1"/>
      <c r="BJ48" s="1"/>
      <c r="BL48" s="32"/>
      <c r="BN48" s="1"/>
      <c r="BO48" s="1"/>
      <c r="BP48" s="1"/>
    </row>
    <row r="49" spans="1:68">
      <c r="A49" s="233">
        <v>45708</v>
      </c>
      <c r="B49" s="41" t="s">
        <v>196</v>
      </c>
      <c r="C49" s="41">
        <v>2103</v>
      </c>
      <c r="D49" s="42">
        <v>540000</v>
      </c>
      <c r="E49" s="56">
        <v>0</v>
      </c>
      <c r="I49" s="1"/>
      <c r="J49" s="1"/>
      <c r="K49" s="243"/>
      <c r="L49" s="1"/>
      <c r="M49" s="243">
        <v>46056</v>
      </c>
      <c r="N49" s="1" t="str">
        <v xml:space="preserve">   Kas</v>
      </c>
      <c r="O49" s="251">
        <v>1101</v>
      </c>
      <c r="P49" s="1">
        <v>0</v>
      </c>
      <c r="Q49" s="1">
        <v>183333</v>
      </c>
      <c r="R49" s="1"/>
      <c r="S49" s="1" t="str">
        <v>Beban Pokok Penjualan</v>
      </c>
      <c r="T49" s="1">
        <v>25238142.700501256</v>
      </c>
      <c r="U49" s="1">
        <v>3590919.7994987462</v>
      </c>
      <c r="AW49" s="32"/>
      <c r="BG49" s="32"/>
      <c r="BI49" s="1"/>
      <c r="BJ49" s="1"/>
      <c r="BL49" s="32"/>
      <c r="BN49" s="1"/>
      <c r="BO49" s="1"/>
      <c r="BP49" s="1"/>
    </row>
    <row r="50" spans="1:68">
      <c r="A50" s="233">
        <v>45708</v>
      </c>
      <c r="B50" s="41" t="s">
        <v>398</v>
      </c>
      <c r="C50" s="41">
        <v>1101</v>
      </c>
      <c r="D50" s="42">
        <v>0</v>
      </c>
      <c r="E50" s="56">
        <v>540000</v>
      </c>
      <c r="I50" s="1"/>
      <c r="J50" s="1"/>
      <c r="K50" s="243"/>
      <c r="L50" s="1"/>
      <c r="M50" s="243">
        <v>46056</v>
      </c>
      <c r="N50" s="1" t="str">
        <v>Beban Bunga</v>
      </c>
      <c r="O50" s="251">
        <v>5110</v>
      </c>
      <c r="P50" s="1">
        <v>116071.54906425596</v>
      </c>
      <c r="Q50" s="1">
        <v>0</v>
      </c>
      <c r="R50" s="1"/>
      <c r="S50" s="1" t="str">
        <v>Beban Bunga</v>
      </c>
      <c r="T50" s="1">
        <v>930855.45564537984</v>
      </c>
      <c r="U50" s="1">
        <v>0</v>
      </c>
      <c r="AW50" s="32"/>
      <c r="BG50" s="32"/>
      <c r="BI50" s="1"/>
      <c r="BJ50" s="1"/>
      <c r="BL50" s="32"/>
      <c r="BN50" s="1"/>
      <c r="BO50" s="1"/>
      <c r="BP50" s="1"/>
    </row>
    <row r="51" spans="1:68">
      <c r="A51" s="233">
        <v>45709</v>
      </c>
      <c r="B51" s="41" t="s">
        <v>183</v>
      </c>
      <c r="C51" s="41">
        <v>1103</v>
      </c>
      <c r="D51" s="42">
        <v>4757460</v>
      </c>
      <c r="E51" s="56">
        <v>0</v>
      </c>
      <c r="I51" s="1"/>
      <c r="J51" s="1"/>
      <c r="K51" s="243"/>
      <c r="L51" s="1"/>
      <c r="M51" s="243">
        <v>46056</v>
      </c>
      <c r="N51" s="1" t="str">
        <v>Wesel Bayar</v>
      </c>
      <c r="O51" s="251">
        <v>2108</v>
      </c>
      <c r="P51" s="1">
        <v>50000</v>
      </c>
      <c r="Q51" s="1">
        <v>0</v>
      </c>
      <c r="R51" s="1"/>
      <c r="S51" s="1" t="str">
        <v>Beban Pensiun</v>
      </c>
      <c r="T51" s="1">
        <v>243.28907254999078</v>
      </c>
      <c r="U51" s="1">
        <v>0</v>
      </c>
      <c r="AW51" s="32"/>
      <c r="BG51" s="32"/>
      <c r="BI51" s="1"/>
      <c r="BJ51" s="1"/>
      <c r="BL51" s="32"/>
      <c r="BN51" s="1"/>
      <c r="BO51" s="1"/>
      <c r="BP51" s="1"/>
    </row>
    <row r="52" spans="1:68">
      <c r="A52" s="233">
        <v>45709</v>
      </c>
      <c r="B52" s="41" t="s">
        <v>149</v>
      </c>
      <c r="C52" s="41">
        <v>4101</v>
      </c>
      <c r="D52" s="42">
        <v>0</v>
      </c>
      <c r="E52" s="56">
        <v>4286000</v>
      </c>
      <c r="I52" s="1"/>
      <c r="J52" s="1"/>
      <c r="K52" s="243"/>
      <c r="L52" s="1"/>
      <c r="M52" s="243">
        <v>46056</v>
      </c>
      <c r="N52" s="1" t="str">
        <v xml:space="preserve">   Utang Bank</v>
      </c>
      <c r="O52" s="251">
        <v>2104</v>
      </c>
      <c r="P52" s="1">
        <v>0</v>
      </c>
      <c r="Q52" s="1">
        <v>166071.54906425596</v>
      </c>
      <c r="R52" s="1"/>
      <c r="S52" s="1" t="str">
        <v/>
      </c>
      <c r="T52" s="100">
        <v>280235709.96877891</v>
      </c>
      <c r="U52" s="100">
        <v>280235709.96877891</v>
      </c>
      <c r="AW52" s="32"/>
      <c r="BG52" s="32"/>
      <c r="BI52" s="1"/>
      <c r="BJ52" s="1"/>
      <c r="BL52" s="32"/>
      <c r="BN52" s="1"/>
      <c r="BO52" s="1"/>
      <c r="BP52" s="1"/>
    </row>
    <row r="53" spans="1:68">
      <c r="A53" s="233">
        <v>45709</v>
      </c>
      <c r="B53" s="41" t="s">
        <v>151</v>
      </c>
      <c r="C53" s="41">
        <v>2106</v>
      </c>
      <c r="D53" s="42">
        <v>0</v>
      </c>
      <c r="E53" s="56">
        <v>471460</v>
      </c>
      <c r="I53" s="1"/>
      <c r="J53" s="1"/>
      <c r="K53" s="243"/>
      <c r="L53" s="1"/>
      <c r="M53" s="243">
        <v>46057</v>
      </c>
      <c r="N53" s="1" t="str">
        <v>Kas</v>
      </c>
      <c r="O53" s="251">
        <v>1101</v>
      </c>
      <c r="P53" s="1">
        <v>125000</v>
      </c>
      <c r="Q53" s="1">
        <v>0</v>
      </c>
      <c r="R53" s="1"/>
      <c r="S53" s="1"/>
      <c r="AW53" s="32"/>
      <c r="BG53" s="32"/>
      <c r="BI53" s="1"/>
      <c r="BJ53" s="1"/>
      <c r="BL53" s="32"/>
      <c r="BN53" s="1"/>
      <c r="BO53" s="1"/>
      <c r="BP53" s="1"/>
    </row>
    <row r="54" spans="1:68">
      <c r="A54" s="233">
        <v>45710</v>
      </c>
      <c r="B54" s="41" t="s">
        <v>146</v>
      </c>
      <c r="C54" s="41">
        <v>4103</v>
      </c>
      <c r="D54" s="42">
        <v>47460</v>
      </c>
      <c r="E54" s="56">
        <v>0</v>
      </c>
      <c r="I54" s="1"/>
      <c r="J54" s="1"/>
      <c r="K54" s="243"/>
      <c r="L54" s="1"/>
      <c r="M54" s="243">
        <v>46057</v>
      </c>
      <c r="N54" s="1" t="str">
        <v>Investasi Obligasi</v>
      </c>
      <c r="O54" s="251">
        <v>1116</v>
      </c>
      <c r="P54" s="1">
        <v>14627.243383431109</v>
      </c>
      <c r="Q54" s="1">
        <v>0</v>
      </c>
      <c r="R54" s="1"/>
      <c r="S54" s="1"/>
      <c r="AW54" s="32"/>
      <c r="BG54" s="32"/>
      <c r="BI54" s="1"/>
      <c r="BJ54" s="1"/>
      <c r="BL54" s="32"/>
      <c r="BN54" s="1"/>
      <c r="BO54" s="1"/>
      <c r="BP54" s="1"/>
    </row>
    <row r="55" spans="1:68">
      <c r="A55" s="233">
        <v>45710</v>
      </c>
      <c r="B55" s="41" t="s">
        <v>425</v>
      </c>
      <c r="C55" s="41">
        <v>1103</v>
      </c>
      <c r="D55" s="42">
        <v>0</v>
      </c>
      <c r="E55" s="56">
        <v>47460</v>
      </c>
      <c r="I55" s="1"/>
      <c r="J55" s="1"/>
      <c r="K55" s="243"/>
      <c r="L55" s="1"/>
      <c r="M55" s="243">
        <v>46057</v>
      </c>
      <c r="N55" s="1" t="str">
        <v xml:space="preserve">   Pendapatan Bunga</v>
      </c>
      <c r="O55" s="251">
        <v>4105</v>
      </c>
      <c r="P55" s="1">
        <v>0</v>
      </c>
      <c r="Q55" s="1">
        <v>139627.24338343111</v>
      </c>
      <c r="R55" s="1"/>
      <c r="S55" s="1"/>
      <c r="AW55" s="32"/>
      <c r="BG55" s="32"/>
      <c r="BI55" s="1"/>
      <c r="BJ55" s="1"/>
      <c r="BL55" s="32"/>
      <c r="BN55" s="1"/>
      <c r="BO55" s="1"/>
      <c r="BP55" s="1"/>
    </row>
    <row r="56" spans="1:68">
      <c r="A56" s="233">
        <v>45710</v>
      </c>
      <c r="B56" s="41" t="s">
        <v>125</v>
      </c>
      <c r="C56" s="41">
        <v>5109</v>
      </c>
      <c r="D56" s="42">
        <v>2081380.5309734512</v>
      </c>
      <c r="E56" s="56">
        <v>0</v>
      </c>
      <c r="J56" s="1"/>
      <c r="K56" s="243"/>
      <c r="L56" s="1"/>
      <c r="M56" s="243">
        <v>46058</v>
      </c>
      <c r="N56" s="1" t="str">
        <v>Persediaan Bahan Baku</v>
      </c>
      <c r="O56" s="251">
        <v>1104</v>
      </c>
      <c r="P56" s="1">
        <v>6239062.5</v>
      </c>
      <c r="Q56" s="1">
        <v>0</v>
      </c>
      <c r="R56" s="1"/>
      <c r="S56" s="1"/>
      <c r="AW56" s="32"/>
      <c r="BG56" s="32"/>
      <c r="BI56" s="1"/>
      <c r="BJ56" s="1"/>
      <c r="BL56" s="32"/>
      <c r="BN56" s="1"/>
      <c r="BO56" s="1"/>
      <c r="BP56" s="1"/>
    </row>
    <row r="57" spans="1:68">
      <c r="A57" s="233">
        <v>45710</v>
      </c>
      <c r="B57" s="41" t="s">
        <v>424</v>
      </c>
      <c r="C57" s="41">
        <v>1104</v>
      </c>
      <c r="D57" s="42">
        <v>0</v>
      </c>
      <c r="E57" s="56">
        <v>2081380.5309734512</v>
      </c>
      <c r="J57" s="1"/>
      <c r="K57" s="243"/>
      <c r="L57" s="1"/>
      <c r="M57" s="243">
        <v>46058</v>
      </c>
      <c r="N57" s="1" t="str">
        <v>PPN Masukan</v>
      </c>
      <c r="O57" s="251">
        <v>1114</v>
      </c>
      <c r="P57" s="1">
        <v>686296.875</v>
      </c>
      <c r="Q57" s="1">
        <v>0</v>
      </c>
      <c r="R57" s="1"/>
      <c r="S57" s="1"/>
      <c r="AW57" s="32"/>
      <c r="BG57" s="32"/>
      <c r="BI57" s="1"/>
      <c r="BJ57" s="1"/>
      <c r="BL57" s="32"/>
      <c r="BN57" s="1"/>
      <c r="BO57" s="1"/>
      <c r="BP57" s="1"/>
    </row>
    <row r="58" spans="1:68">
      <c r="A58" s="233">
        <v>45726</v>
      </c>
      <c r="B58" s="41" t="s">
        <v>184</v>
      </c>
      <c r="C58" s="41">
        <v>1104</v>
      </c>
      <c r="D58" s="42">
        <v>4290000</v>
      </c>
      <c r="E58" s="56">
        <v>0</v>
      </c>
      <c r="J58" s="1"/>
      <c r="K58" s="243"/>
      <c r="L58" s="1"/>
      <c r="M58" s="243">
        <v>46058</v>
      </c>
      <c r="N58" s="1" t="str">
        <v xml:space="preserve">   Utang Usaha</v>
      </c>
      <c r="O58" s="251">
        <v>2101</v>
      </c>
      <c r="P58" s="1">
        <v>0</v>
      </c>
      <c r="Q58" s="1">
        <v>6925359.375</v>
      </c>
      <c r="R58" s="1"/>
      <c r="S58" s="1"/>
      <c r="AW58" s="32"/>
      <c r="BG58" s="32"/>
      <c r="BI58" s="1"/>
      <c r="BJ58" s="1"/>
      <c r="BL58" s="32"/>
      <c r="BN58" s="1"/>
      <c r="BO58" s="1"/>
      <c r="BP58" s="1"/>
    </row>
    <row r="59" spans="1:68">
      <c r="A59" s="233">
        <v>45726</v>
      </c>
      <c r="B59" s="41" t="s">
        <v>150</v>
      </c>
      <c r="C59" s="41">
        <v>1114</v>
      </c>
      <c r="D59" s="42">
        <v>179500</v>
      </c>
      <c r="E59" s="56">
        <v>0</v>
      </c>
      <c r="J59" s="1"/>
      <c r="K59" s="243"/>
      <c r="L59" s="1"/>
      <c r="M59" s="243">
        <v>46068</v>
      </c>
      <c r="N59" s="1" t="str">
        <v>Beban Tenaga Kerja Langsung</v>
      </c>
      <c r="O59" s="251">
        <v>5102</v>
      </c>
      <c r="P59" s="1">
        <v>600000</v>
      </c>
      <c r="Q59" s="1">
        <v>0</v>
      </c>
      <c r="R59" s="1"/>
      <c r="S59" s="1"/>
      <c r="AW59" s="32"/>
      <c r="BG59" s="32"/>
      <c r="BI59" s="1"/>
      <c r="BJ59" s="1"/>
      <c r="BL59" s="32"/>
      <c r="BN59" s="1"/>
      <c r="BO59" s="1"/>
      <c r="BP59" s="1"/>
    </row>
    <row r="60" spans="1:68">
      <c r="A60" s="233">
        <v>45726</v>
      </c>
      <c r="B60" s="41" t="s">
        <v>398</v>
      </c>
      <c r="C60" s="41">
        <v>1101</v>
      </c>
      <c r="D60" s="42">
        <v>0</v>
      </c>
      <c r="E60" s="56">
        <v>4469500</v>
      </c>
      <c r="J60" s="1"/>
      <c r="K60" s="243"/>
      <c r="L60" s="1"/>
      <c r="M60" s="243">
        <v>46068</v>
      </c>
      <c r="N60" s="1" t="str">
        <v xml:space="preserve">   Utang Pajak Gaji</v>
      </c>
      <c r="O60" s="251">
        <v>2102</v>
      </c>
      <c r="P60" s="1">
        <v>0</v>
      </c>
      <c r="Q60" s="1">
        <v>60000</v>
      </c>
      <c r="R60" s="1"/>
      <c r="S60" s="1"/>
      <c r="AW60" s="32"/>
      <c r="BG60" s="32"/>
      <c r="BI60" s="1"/>
      <c r="BJ60" s="1"/>
      <c r="BL60" s="32"/>
      <c r="BN60" s="1"/>
      <c r="BO60" s="1"/>
      <c r="BP60" s="1"/>
    </row>
    <row r="61" spans="1:68">
      <c r="A61" s="233">
        <v>45726</v>
      </c>
      <c r="B61" s="41" t="s">
        <v>187</v>
      </c>
      <c r="C61" s="41">
        <v>1101</v>
      </c>
      <c r="D61" s="42">
        <v>219500</v>
      </c>
      <c r="E61" s="56">
        <v>0</v>
      </c>
      <c r="J61" s="1"/>
      <c r="K61" s="243"/>
      <c r="L61" s="1"/>
      <c r="M61" s="243">
        <v>46068</v>
      </c>
      <c r="N61" s="1" t="str">
        <v xml:space="preserve">   Utang Gaji</v>
      </c>
      <c r="O61" s="251">
        <v>2103</v>
      </c>
      <c r="P61" s="1">
        <v>0</v>
      </c>
      <c r="Q61" s="1">
        <v>540000</v>
      </c>
      <c r="R61" s="1"/>
      <c r="S61" s="1"/>
      <c r="AW61" s="32"/>
      <c r="BG61" s="32"/>
      <c r="BI61" s="1"/>
      <c r="BJ61" s="1"/>
      <c r="BL61" s="32"/>
      <c r="BN61" s="1"/>
      <c r="BO61" s="1"/>
      <c r="BP61" s="1"/>
    </row>
    <row r="62" spans="1:68">
      <c r="A62" s="233">
        <v>45726</v>
      </c>
      <c r="B62" s="41" t="s">
        <v>123</v>
      </c>
      <c r="C62" s="41">
        <v>1106</v>
      </c>
      <c r="D62" s="42">
        <v>0</v>
      </c>
      <c r="E62" s="56">
        <v>219500</v>
      </c>
      <c r="J62" s="1"/>
      <c r="K62" s="243"/>
      <c r="L62" s="1"/>
      <c r="M62" s="243">
        <v>46074</v>
      </c>
      <c r="N62" s="1" t="str">
        <v>Utang Gaji</v>
      </c>
      <c r="O62" s="251">
        <v>2103</v>
      </c>
      <c r="P62" s="1">
        <v>540000</v>
      </c>
      <c r="Q62" s="1">
        <v>0</v>
      </c>
      <c r="R62" s="1"/>
      <c r="S62" s="1"/>
      <c r="AW62" s="32"/>
      <c r="BG62" s="32"/>
      <c r="BI62" s="1"/>
      <c r="BJ62" s="1"/>
      <c r="BL62" s="32"/>
      <c r="BN62" s="1"/>
      <c r="BO62" s="1"/>
      <c r="BP62" s="1"/>
    </row>
    <row r="63" spans="1:68">
      <c r="A63" s="233">
        <v>45726</v>
      </c>
      <c r="B63" s="41" t="s">
        <v>415</v>
      </c>
      <c r="C63" s="41">
        <v>5102</v>
      </c>
      <c r="D63" s="42">
        <v>600000</v>
      </c>
      <c r="E63" s="56">
        <v>0</v>
      </c>
      <c r="J63" s="1"/>
      <c r="K63" s="243"/>
      <c r="L63" s="1"/>
      <c r="M63" s="243">
        <v>46074</v>
      </c>
      <c r="N63" s="1" t="str">
        <v xml:space="preserve">   Kas</v>
      </c>
      <c r="O63" s="251">
        <v>1101</v>
      </c>
      <c r="P63" s="1">
        <v>0</v>
      </c>
      <c r="Q63" s="1">
        <v>540000</v>
      </c>
      <c r="R63" s="1"/>
      <c r="S63" s="1"/>
      <c r="AW63" s="32"/>
      <c r="BG63" s="32"/>
      <c r="BI63" s="1"/>
      <c r="BJ63" s="1"/>
      <c r="BL63" s="32"/>
      <c r="BN63" s="1"/>
      <c r="BO63" s="1"/>
      <c r="BP63" s="1"/>
    </row>
    <row r="64" spans="1:68">
      <c r="A64" s="233">
        <v>45726</v>
      </c>
      <c r="B64" s="41" t="s">
        <v>428</v>
      </c>
      <c r="C64" s="41">
        <v>2102</v>
      </c>
      <c r="D64" s="42">
        <v>0</v>
      </c>
      <c r="E64" s="56">
        <v>60000</v>
      </c>
      <c r="J64" s="1"/>
      <c r="K64" s="243"/>
      <c r="L64" s="1"/>
      <c r="M64" s="243">
        <v>46074</v>
      </c>
      <c r="N64" s="1" t="str">
        <v>Beban Utilitas</v>
      </c>
      <c r="O64" s="251">
        <v>5104</v>
      </c>
      <c r="P64" s="1">
        <v>110000</v>
      </c>
      <c r="Q64" s="1">
        <v>0</v>
      </c>
      <c r="R64" s="1"/>
      <c r="S64" s="1"/>
      <c r="AW64" s="32"/>
      <c r="BG64" s="32"/>
      <c r="BI64" s="1"/>
      <c r="BJ64" s="1"/>
      <c r="BL64" s="32"/>
      <c r="BN64" s="1"/>
      <c r="BO64" s="1"/>
      <c r="BP64" s="1"/>
    </row>
    <row r="65" spans="1:68">
      <c r="A65" s="233">
        <v>45726</v>
      </c>
      <c r="B65" s="41" t="s">
        <v>429</v>
      </c>
      <c r="C65" s="41">
        <v>2103</v>
      </c>
      <c r="D65" s="42">
        <v>0</v>
      </c>
      <c r="E65" s="56">
        <v>540000</v>
      </c>
      <c r="J65" s="1"/>
      <c r="K65" s="243"/>
      <c r="L65" s="1"/>
      <c r="M65" s="243">
        <v>46074</v>
      </c>
      <c r="N65" s="1" t="str">
        <v xml:space="preserve">   Kas</v>
      </c>
      <c r="O65" s="251">
        <v>1101</v>
      </c>
      <c r="P65" s="1">
        <v>0</v>
      </c>
      <c r="Q65" s="1">
        <v>110000</v>
      </c>
      <c r="R65" s="1"/>
      <c r="S65" s="1"/>
      <c r="AW65" s="32"/>
      <c r="BG65" s="32"/>
      <c r="BI65" s="1"/>
      <c r="BJ65" s="1"/>
      <c r="BL65" s="32"/>
      <c r="BN65" s="1"/>
      <c r="BO65" s="1"/>
      <c r="BP65" s="1"/>
    </row>
    <row r="66" spans="1:68">
      <c r="A66" s="233">
        <v>45726</v>
      </c>
      <c r="B66" s="41" t="s">
        <v>196</v>
      </c>
      <c r="C66" s="41">
        <v>2103</v>
      </c>
      <c r="D66" s="42">
        <v>540000</v>
      </c>
      <c r="E66" s="56">
        <v>0</v>
      </c>
      <c r="J66" s="1"/>
      <c r="K66" s="243"/>
      <c r="L66" s="1"/>
      <c r="M66" s="243">
        <v>46075</v>
      </c>
      <c r="N66" s="1" t="str">
        <v>Piutang Usaha</v>
      </c>
      <c r="O66" s="251">
        <v>1103</v>
      </c>
      <c r="P66" s="1">
        <v>13940490</v>
      </c>
      <c r="Q66" s="1">
        <v>0</v>
      </c>
      <c r="R66" s="1"/>
      <c r="S66" s="1"/>
      <c r="AW66" s="32"/>
      <c r="BG66" s="32"/>
      <c r="BI66" s="1"/>
      <c r="BJ66" s="1"/>
      <c r="BL66" s="32"/>
      <c r="BN66" s="1"/>
      <c r="BO66" s="1"/>
      <c r="BP66" s="1"/>
    </row>
    <row r="67" spans="1:68">
      <c r="A67" s="233">
        <v>45726</v>
      </c>
      <c r="B67" s="41" t="s">
        <v>398</v>
      </c>
      <c r="C67" s="41">
        <v>1101</v>
      </c>
      <c r="D67" s="42">
        <v>0</v>
      </c>
      <c r="E67" s="56">
        <v>540000</v>
      </c>
      <c r="J67" s="1"/>
      <c r="K67" s="243"/>
      <c r="L67" s="1"/>
      <c r="M67" s="243">
        <v>46075</v>
      </c>
      <c r="N67" s="1" t="str">
        <v xml:space="preserve">   Penjualan Produk Garment</v>
      </c>
      <c r="O67" s="251">
        <v>4101</v>
      </c>
      <c r="P67" s="1">
        <v>0</v>
      </c>
      <c r="Q67" s="1">
        <v>12559000</v>
      </c>
      <c r="R67" s="1"/>
      <c r="S67" s="1"/>
      <c r="AW67" s="32"/>
      <c r="BG67" s="32"/>
      <c r="BI67" s="1"/>
      <c r="BJ67" s="1"/>
      <c r="BL67" s="32"/>
      <c r="BN67" s="1"/>
      <c r="BO67" s="1"/>
      <c r="BP67" s="1"/>
    </row>
    <row r="68" spans="1:68">
      <c r="A68" s="233">
        <v>45726</v>
      </c>
      <c r="B68" s="41" t="s">
        <v>417</v>
      </c>
      <c r="C68" s="41">
        <v>5104</v>
      </c>
      <c r="D68" s="42">
        <v>110000</v>
      </c>
      <c r="E68" s="56">
        <v>0</v>
      </c>
      <c r="J68" s="1"/>
      <c r="K68" s="243"/>
      <c r="L68" s="1"/>
      <c r="M68" s="243">
        <v>46075</v>
      </c>
      <c r="N68" s="1" t="str">
        <v xml:space="preserve">   PPN Keluaran</v>
      </c>
      <c r="O68" s="251">
        <v>2106</v>
      </c>
      <c r="P68" s="1">
        <v>0</v>
      </c>
      <c r="Q68" s="1">
        <v>1381490</v>
      </c>
      <c r="R68" s="1"/>
      <c r="S68" s="1"/>
      <c r="AW68" s="32"/>
      <c r="BG68" s="32"/>
      <c r="BI68" s="1"/>
      <c r="BJ68" s="1"/>
      <c r="BL68" s="32"/>
      <c r="BN68" s="1"/>
      <c r="BO68" s="1"/>
      <c r="BP68" s="1"/>
    </row>
    <row r="69" spans="1:68">
      <c r="A69" s="233">
        <v>45726</v>
      </c>
      <c r="B69" s="41" t="s">
        <v>398</v>
      </c>
      <c r="C69" s="41">
        <v>1101</v>
      </c>
      <c r="D69" s="42">
        <v>0</v>
      </c>
      <c r="E69" s="56">
        <v>110000</v>
      </c>
      <c r="J69" s="1"/>
      <c r="K69" s="243"/>
      <c r="L69" s="1"/>
      <c r="M69" s="243">
        <v>46075</v>
      </c>
      <c r="N69" s="1" t="str">
        <v>Diskon Penjualan</v>
      </c>
      <c r="O69" s="251">
        <v>4103</v>
      </c>
      <c r="P69" s="1">
        <v>170490</v>
      </c>
      <c r="Q69" s="1">
        <v>0</v>
      </c>
      <c r="R69" s="1"/>
      <c r="S69" s="1"/>
      <c r="AW69" s="32"/>
      <c r="BG69" s="32"/>
      <c r="BI69" s="1"/>
      <c r="BJ69" s="1"/>
      <c r="BL69" s="32"/>
      <c r="BN69" s="1"/>
      <c r="BO69" s="1"/>
      <c r="BP69" s="1"/>
    </row>
    <row r="70" spans="1:68">
      <c r="A70" s="233">
        <v>45726</v>
      </c>
      <c r="B70" s="41" t="s">
        <v>183</v>
      </c>
      <c r="C70" s="41">
        <v>1103</v>
      </c>
      <c r="D70" s="42">
        <v>5256960</v>
      </c>
      <c r="E70" s="56">
        <v>0</v>
      </c>
      <c r="J70" s="1"/>
      <c r="K70" s="243"/>
      <c r="L70" s="1"/>
      <c r="M70" s="243">
        <v>46075</v>
      </c>
      <c r="N70" s="1" t="str">
        <v xml:space="preserve">   Piutang Usaha</v>
      </c>
      <c r="O70" s="251">
        <v>1103</v>
      </c>
      <c r="P70" s="1">
        <v>0</v>
      </c>
      <c r="Q70" s="1">
        <v>170490</v>
      </c>
      <c r="R70" s="1"/>
      <c r="S70" s="1"/>
      <c r="AW70" s="32"/>
      <c r="BG70" s="32"/>
      <c r="BI70" s="1"/>
      <c r="BJ70" s="1"/>
      <c r="BL70" s="32"/>
      <c r="BN70" s="1"/>
      <c r="BO70" s="1"/>
      <c r="BP70" s="1"/>
    </row>
    <row r="71" spans="1:68">
      <c r="A71" s="233">
        <v>45726</v>
      </c>
      <c r="B71" s="41" t="s">
        <v>149</v>
      </c>
      <c r="C71" s="41">
        <v>4101</v>
      </c>
      <c r="D71" s="42">
        <v>0</v>
      </c>
      <c r="E71" s="56">
        <v>4736000</v>
      </c>
      <c r="J71" s="1"/>
      <c r="K71" s="243"/>
      <c r="L71" s="1"/>
      <c r="M71" s="243">
        <v>46075</v>
      </c>
      <c r="N71" s="1" t="str">
        <v>Beban Pokok Penjualan</v>
      </c>
      <c r="O71" s="251">
        <v>5109</v>
      </c>
      <c r="P71" s="1">
        <v>6239062.5</v>
      </c>
      <c r="Q71" s="1">
        <v>0</v>
      </c>
      <c r="R71" s="1"/>
      <c r="S71" s="1"/>
      <c r="AW71" s="32"/>
      <c r="BG71" s="32"/>
      <c r="BI71" s="1"/>
      <c r="BJ71" s="1"/>
      <c r="BL71" s="32"/>
      <c r="BN71" s="1"/>
      <c r="BO71" s="1"/>
      <c r="BP71" s="1"/>
    </row>
    <row r="72" spans="1:68">
      <c r="A72" s="233">
        <v>45726</v>
      </c>
      <c r="B72" s="41" t="s">
        <v>151</v>
      </c>
      <c r="C72" s="41">
        <v>2106</v>
      </c>
      <c r="D72" s="42">
        <v>0</v>
      </c>
      <c r="E72" s="56">
        <v>520960</v>
      </c>
      <c r="J72" s="1"/>
      <c r="K72" s="243"/>
      <c r="L72" s="1"/>
      <c r="M72" s="243">
        <v>46075</v>
      </c>
      <c r="N72" s="1" t="str">
        <v xml:space="preserve">   Persediaan Bahan Baku</v>
      </c>
      <c r="O72" s="251">
        <v>1104</v>
      </c>
      <c r="P72" s="1">
        <v>0</v>
      </c>
      <c r="Q72" s="1">
        <v>6239062.5</v>
      </c>
      <c r="R72" s="1"/>
      <c r="S72" s="1"/>
      <c r="AW72" s="32"/>
      <c r="BG72" s="32"/>
      <c r="BI72" s="1"/>
      <c r="BJ72" s="1"/>
      <c r="BL72" s="32"/>
      <c r="BN72" s="1"/>
      <c r="BO72" s="1"/>
      <c r="BP72" s="1"/>
    </row>
    <row r="73" spans="1:68">
      <c r="A73" s="233">
        <v>45726</v>
      </c>
      <c r="B73" s="41" t="s">
        <v>146</v>
      </c>
      <c r="C73" s="41">
        <v>4103</v>
      </c>
      <c r="D73" s="42">
        <v>85635</v>
      </c>
      <c r="E73" s="56">
        <v>0</v>
      </c>
      <c r="J73" s="1"/>
      <c r="K73" s="243"/>
      <c r="L73" s="1"/>
      <c r="M73" s="243">
        <v>46075</v>
      </c>
      <c r="N73" s="1" t="str">
        <v>Beban Pemasaran &amp; Iklan</v>
      </c>
      <c r="O73" s="251">
        <v>5106</v>
      </c>
      <c r="P73" s="1">
        <v>740</v>
      </c>
      <c r="Q73" s="1">
        <v>0</v>
      </c>
      <c r="R73" s="1"/>
      <c r="S73" s="1"/>
      <c r="AW73" s="32"/>
      <c r="BG73" s="32"/>
      <c r="BI73" s="1"/>
      <c r="BJ73" s="1"/>
      <c r="BL73" s="32"/>
      <c r="BN73" s="1"/>
      <c r="BO73" s="1"/>
      <c r="BP73" s="1"/>
    </row>
    <row r="74" spans="1:68">
      <c r="A74" s="233">
        <v>45726</v>
      </c>
      <c r="B74" s="41" t="s">
        <v>425</v>
      </c>
      <c r="C74" s="41">
        <v>1103</v>
      </c>
      <c r="D74" s="42">
        <v>0</v>
      </c>
      <c r="E74" s="56">
        <v>85635</v>
      </c>
      <c r="J74" s="1"/>
      <c r="K74" s="243"/>
      <c r="L74" s="1"/>
      <c r="M74" s="243">
        <v>46075</v>
      </c>
      <c r="N74" s="1" t="str">
        <v xml:space="preserve">   Utang Usaha</v>
      </c>
      <c r="O74" s="251">
        <v>2101</v>
      </c>
      <c r="P74" s="1">
        <v>0</v>
      </c>
      <c r="Q74" s="1">
        <v>740</v>
      </c>
      <c r="R74" s="1"/>
      <c r="S74" s="1"/>
      <c r="AW74" s="32"/>
      <c r="BG74" s="32"/>
      <c r="BI74" s="1"/>
      <c r="BJ74" s="1"/>
      <c r="BL74" s="32"/>
      <c r="BN74" s="1"/>
      <c r="BO74" s="1"/>
      <c r="BP74" s="1"/>
    </row>
    <row r="75" spans="1:68">
      <c r="A75" s="233">
        <v>45726</v>
      </c>
      <c r="B75" s="41" t="s">
        <v>125</v>
      </c>
      <c r="C75" s="41">
        <v>5109</v>
      </c>
      <c r="D75" s="42">
        <v>2333157.8947368423</v>
      </c>
      <c r="E75" s="56">
        <v>0</v>
      </c>
      <c r="J75" s="1"/>
      <c r="K75" s="243"/>
      <c r="L75" s="1"/>
      <c r="M75" s="243">
        <v>46080</v>
      </c>
      <c r="N75" s="1" t="str">
        <v>Utang Usaha</v>
      </c>
      <c r="O75" s="251">
        <v>2101</v>
      </c>
      <c r="P75" s="1">
        <v>296</v>
      </c>
      <c r="Q75" s="1">
        <v>0</v>
      </c>
      <c r="R75" s="1"/>
      <c r="S75" s="1"/>
      <c r="AW75" s="32"/>
      <c r="BG75" s="32"/>
      <c r="BI75" s="1"/>
      <c r="BJ75" s="1"/>
      <c r="BL75" s="32"/>
      <c r="BN75" s="1"/>
      <c r="BO75" s="1"/>
      <c r="BP75" s="1"/>
    </row>
    <row r="76" spans="1:68">
      <c r="A76" s="233">
        <v>45726</v>
      </c>
      <c r="B76" s="41" t="s">
        <v>424</v>
      </c>
      <c r="C76" s="41">
        <v>1104</v>
      </c>
      <c r="D76" s="42">
        <v>0</v>
      </c>
      <c r="E76" s="56">
        <v>2333157.8947368423</v>
      </c>
      <c r="J76" s="1"/>
      <c r="K76" s="243"/>
      <c r="L76" s="1"/>
      <c r="M76" s="243">
        <v>46080</v>
      </c>
      <c r="N76" s="1" t="str">
        <v xml:space="preserve">   Pendapatan Lain-lain</v>
      </c>
      <c r="O76" s="251">
        <v>4103</v>
      </c>
      <c r="P76" s="1">
        <v>0</v>
      </c>
      <c r="Q76" s="1">
        <v>296</v>
      </c>
      <c r="R76" s="1"/>
      <c r="S76" s="1"/>
      <c r="AW76" s="32"/>
      <c r="BG76" s="32"/>
      <c r="BI76" s="1"/>
      <c r="BJ76" s="1"/>
      <c r="BL76" s="32"/>
      <c r="BN76" s="1"/>
      <c r="BO76" s="1"/>
      <c r="BP76" s="1"/>
    </row>
    <row r="77" spans="1:68">
      <c r="A77" s="233">
        <v>45754</v>
      </c>
      <c r="B77" s="41" t="s">
        <v>184</v>
      </c>
      <c r="C77" s="41">
        <v>1104</v>
      </c>
      <c r="D77" s="42">
        <v>1410000</v>
      </c>
      <c r="E77" s="56">
        <v>0</v>
      </c>
      <c r="J77" s="1"/>
      <c r="K77" s="243"/>
      <c r="L77" s="1"/>
      <c r="M77" s="243">
        <v>46080</v>
      </c>
      <c r="N77" s="1" t="str">
        <v>Retur Penjualan</v>
      </c>
      <c r="O77" s="251">
        <v>4102</v>
      </c>
      <c r="P77" s="1">
        <v>8256180</v>
      </c>
      <c r="Q77" s="1">
        <v>0</v>
      </c>
      <c r="R77" s="1"/>
      <c r="S77" s="1"/>
      <c r="AW77" s="32"/>
      <c r="BG77" s="32"/>
      <c r="BI77" s="1"/>
      <c r="BJ77" s="1"/>
      <c r="BL77" s="32"/>
      <c r="BN77" s="1"/>
      <c r="BO77" s="1"/>
      <c r="BP77" s="1"/>
    </row>
    <row r="78" spans="1:68">
      <c r="A78" s="233">
        <v>45754</v>
      </c>
      <c r="B78" s="41" t="s">
        <v>398</v>
      </c>
      <c r="C78" s="41">
        <v>1101</v>
      </c>
      <c r="D78" s="42">
        <v>0</v>
      </c>
      <c r="E78" s="56">
        <v>1410000</v>
      </c>
      <c r="J78" s="1"/>
      <c r="K78" s="243"/>
      <c r="L78" s="1"/>
      <c r="M78" s="243">
        <v>46080</v>
      </c>
      <c r="N78" s="1" t="str">
        <v xml:space="preserve">   Piutang Usaha</v>
      </c>
      <c r="O78" s="251">
        <v>1103</v>
      </c>
      <c r="P78" s="1">
        <v>0</v>
      </c>
      <c r="Q78" s="1">
        <v>7438000</v>
      </c>
      <c r="R78" s="1"/>
      <c r="S78" s="1"/>
      <c r="AW78" s="32"/>
      <c r="BG78" s="32"/>
      <c r="BI78" s="1"/>
      <c r="BJ78" s="1"/>
      <c r="BL78" s="32"/>
      <c r="BN78" s="1"/>
      <c r="BO78" s="1"/>
      <c r="BP78" s="1"/>
    </row>
    <row r="79" spans="1:68">
      <c r="A79" s="233">
        <v>45758</v>
      </c>
      <c r="B79" s="41" t="s">
        <v>415</v>
      </c>
      <c r="C79" s="41">
        <v>5102</v>
      </c>
      <c r="D79" s="42">
        <v>600000</v>
      </c>
      <c r="E79" s="56">
        <v>0</v>
      </c>
      <c r="J79" s="1"/>
      <c r="K79" s="243"/>
      <c r="L79" s="1"/>
      <c r="M79" s="243">
        <v>46080</v>
      </c>
      <c r="N79" s="1" t="str">
        <v xml:space="preserve">   Diskon Penjualan</v>
      </c>
      <c r="O79" s="251">
        <v>4103</v>
      </c>
      <c r="P79" s="1">
        <v>0</v>
      </c>
      <c r="Q79" s="1">
        <v>818180</v>
      </c>
      <c r="R79" s="1"/>
      <c r="S79" s="1"/>
      <c r="AW79" s="32"/>
      <c r="BG79" s="32"/>
      <c r="BI79" s="1"/>
      <c r="BJ79" s="1"/>
      <c r="BL79" s="32"/>
      <c r="BN79" s="1"/>
      <c r="BO79" s="1"/>
      <c r="BP79" s="1"/>
    </row>
    <row r="80" spans="1:68">
      <c r="A80" s="233">
        <v>45758</v>
      </c>
      <c r="B80" s="41" t="s">
        <v>428</v>
      </c>
      <c r="C80" s="41">
        <v>2102</v>
      </c>
      <c r="D80" s="42">
        <v>0</v>
      </c>
      <c r="E80" s="56">
        <v>60000</v>
      </c>
      <c r="J80" s="1"/>
      <c r="K80" s="243"/>
      <c r="L80" s="1"/>
      <c r="M80" s="243">
        <v>46080</v>
      </c>
      <c r="N80" s="1" t="str">
        <v>Piutang Usaha</v>
      </c>
      <c r="O80" s="251">
        <v>1103</v>
      </c>
      <c r="P80" s="1">
        <v>6604944</v>
      </c>
      <c r="Q80" s="1">
        <v>0</v>
      </c>
      <c r="R80" s="1"/>
      <c r="S80" s="1"/>
      <c r="AW80" s="32"/>
      <c r="BG80" s="32"/>
      <c r="BI80" s="1"/>
      <c r="BJ80" s="1"/>
      <c r="BL80" s="32"/>
      <c r="BN80" s="1"/>
      <c r="BO80" s="1"/>
      <c r="BP80" s="1"/>
    </row>
    <row r="81" spans="1:68">
      <c r="A81" s="233">
        <v>45758</v>
      </c>
      <c r="B81" s="41" t="s">
        <v>429</v>
      </c>
      <c r="C81" s="41">
        <v>2103</v>
      </c>
      <c r="D81" s="42">
        <v>0</v>
      </c>
      <c r="E81" s="56">
        <v>540000</v>
      </c>
      <c r="J81" s="1"/>
      <c r="K81" s="243"/>
      <c r="L81" s="1"/>
      <c r="M81" s="243">
        <v>46080</v>
      </c>
      <c r="N81" s="1" t="str">
        <v xml:space="preserve">   Penjualan Produk Garment</v>
      </c>
      <c r="O81" s="251">
        <v>4101</v>
      </c>
      <c r="P81" s="1">
        <v>0</v>
      </c>
      <c r="Q81" s="1">
        <v>6604944</v>
      </c>
      <c r="R81" s="1"/>
      <c r="S81" s="1"/>
      <c r="AW81" s="32"/>
      <c r="BG81" s="32"/>
      <c r="BI81" s="1"/>
      <c r="BJ81" s="1"/>
      <c r="BL81" s="32"/>
      <c r="BN81" s="1"/>
      <c r="BO81" s="1"/>
      <c r="BP81" s="1"/>
    </row>
    <row r="82" spans="1:68">
      <c r="A82" s="233">
        <v>45764</v>
      </c>
      <c r="B82" s="41" t="s">
        <v>196</v>
      </c>
      <c r="C82" s="41">
        <v>2103</v>
      </c>
      <c r="D82" s="42">
        <v>540000</v>
      </c>
      <c r="E82" s="56">
        <v>0</v>
      </c>
      <c r="J82" s="1"/>
      <c r="K82" s="243"/>
      <c r="L82" s="1"/>
      <c r="M82" s="243">
        <v>46081</v>
      </c>
      <c r="N82" s="1" t="str">
        <v>Modal</v>
      </c>
      <c r="O82" s="251">
        <v>3102</v>
      </c>
      <c r="P82" s="1">
        <v>38339090.518256053</v>
      </c>
      <c r="Q82" s="1">
        <v>0</v>
      </c>
      <c r="R82" s="1"/>
      <c r="S82" s="1"/>
      <c r="AW82" s="32"/>
      <c r="BG82" s="32"/>
      <c r="BI82" s="1"/>
      <c r="BJ82" s="1"/>
      <c r="BL82" s="32"/>
      <c r="BN82" s="1"/>
      <c r="BO82" s="1"/>
      <c r="BP82" s="1"/>
    </row>
    <row r="83" spans="1:68">
      <c r="A83" s="233">
        <v>45764</v>
      </c>
      <c r="B83" s="41" t="s">
        <v>398</v>
      </c>
      <c r="C83" s="41">
        <v>1101</v>
      </c>
      <c r="D83" s="42">
        <v>0</v>
      </c>
      <c r="E83" s="56">
        <v>540000</v>
      </c>
      <c r="J83" s="1"/>
      <c r="K83" s="243"/>
      <c r="L83" s="1"/>
      <c r="M83" s="243">
        <v>46081</v>
      </c>
      <c r="N83" s="1" t="str">
        <v xml:space="preserve">   Modal</v>
      </c>
      <c r="O83" s="251">
        <v>3102</v>
      </c>
      <c r="P83" s="1">
        <v>0</v>
      </c>
      <c r="Q83" s="1">
        <v>38339090.518256053</v>
      </c>
      <c r="R83" s="1"/>
      <c r="S83" s="1"/>
      <c r="AW83" s="32"/>
      <c r="BG83" s="32"/>
      <c r="BI83" s="1"/>
      <c r="BJ83" s="1"/>
      <c r="BL83" s="32"/>
      <c r="BN83" s="1"/>
      <c r="BO83" s="1"/>
      <c r="BP83" s="1"/>
    </row>
    <row r="84" spans="1:68">
      <c r="A84" s="233">
        <v>45765</v>
      </c>
      <c r="B84" s="41" t="s">
        <v>417</v>
      </c>
      <c r="C84" s="41">
        <v>5104</v>
      </c>
      <c r="D84" s="42">
        <v>110000</v>
      </c>
      <c r="E84" s="56">
        <v>0</v>
      </c>
      <c r="J84" s="1"/>
      <c r="K84" s="243"/>
      <c r="L84" s="1"/>
      <c r="M84" s="243">
        <v>46081</v>
      </c>
      <c r="N84" s="1" t="str">
        <v>Aset Lainnya</v>
      </c>
      <c r="O84" s="251">
        <v>1111</v>
      </c>
      <c r="P84" s="1">
        <v>19169545.259128027</v>
      </c>
      <c r="Q84" s="1">
        <v>0</v>
      </c>
      <c r="R84" s="1"/>
      <c r="S84" s="1"/>
      <c r="AW84" s="32"/>
      <c r="BG84" s="32"/>
      <c r="BI84" s="1"/>
      <c r="BJ84" s="1"/>
      <c r="BL84" s="32"/>
      <c r="BN84" s="1"/>
      <c r="BO84" s="1"/>
      <c r="BP84" s="1"/>
    </row>
    <row r="85" spans="1:68">
      <c r="A85" s="233">
        <v>45765</v>
      </c>
      <c r="B85" s="41" t="s">
        <v>398</v>
      </c>
      <c r="C85" s="41">
        <v>1101</v>
      </c>
      <c r="D85" s="42">
        <v>0</v>
      </c>
      <c r="E85" s="56">
        <v>110000</v>
      </c>
      <c r="J85" s="1"/>
      <c r="K85" s="243"/>
      <c r="L85" s="1"/>
      <c r="M85" s="243">
        <v>46081</v>
      </c>
      <c r="N85" s="1" t="str">
        <v xml:space="preserve">   Pendapatan Lain-lain</v>
      </c>
      <c r="O85" s="251">
        <v>4103</v>
      </c>
      <c r="P85" s="1">
        <v>0</v>
      </c>
      <c r="Q85" s="1">
        <v>19169545.259128027</v>
      </c>
      <c r="R85" s="1"/>
      <c r="S85" s="1"/>
      <c r="AW85" s="32"/>
      <c r="BG85" s="32"/>
      <c r="BI85" s="1"/>
      <c r="BJ85" s="1"/>
      <c r="BL85" s="32"/>
      <c r="BN85" s="1"/>
      <c r="BO85" s="1"/>
      <c r="BP85" s="1"/>
    </row>
    <row r="86" spans="1:68">
      <c r="A86" s="233">
        <v>45765</v>
      </c>
      <c r="B86" s="41" t="s">
        <v>183</v>
      </c>
      <c r="C86" s="41">
        <v>1103</v>
      </c>
      <c r="D86" s="42">
        <v>2192250</v>
      </c>
      <c r="E86" s="56">
        <v>0</v>
      </c>
      <c r="J86" s="1"/>
      <c r="K86" s="243"/>
      <c r="L86" s="1"/>
      <c r="M86" s="243">
        <v>46081</v>
      </c>
      <c r="N86" s="1" t="str">
        <v>Kas</v>
      </c>
      <c r="O86" s="251">
        <v>1101</v>
      </c>
      <c r="P86" s="1">
        <v>8000000</v>
      </c>
      <c r="Q86" s="1">
        <v>0</v>
      </c>
      <c r="R86" s="1"/>
      <c r="S86" s="1"/>
      <c r="AW86" s="32"/>
      <c r="BG86" s="32"/>
      <c r="BI86" s="1"/>
      <c r="BJ86" s="1"/>
      <c r="BL86" s="32"/>
      <c r="BN86" s="1"/>
      <c r="BO86" s="1"/>
      <c r="BP86" s="1"/>
    </row>
    <row r="87" spans="1:68">
      <c r="A87" s="233">
        <v>45765</v>
      </c>
      <c r="B87" s="41" t="s">
        <v>149</v>
      </c>
      <c r="C87" s="41">
        <v>4101</v>
      </c>
      <c r="D87" s="42">
        <v>0</v>
      </c>
      <c r="E87" s="56">
        <v>1975000</v>
      </c>
      <c r="J87" s="1"/>
      <c r="K87" s="243"/>
      <c r="L87" s="1"/>
      <c r="M87" s="243">
        <v>46081</v>
      </c>
      <c r="N87" s="1" t="str">
        <v xml:space="preserve">   Modal</v>
      </c>
      <c r="O87" s="251">
        <v>3102</v>
      </c>
      <c r="P87" s="1">
        <v>0</v>
      </c>
      <c r="Q87" s="1">
        <v>5000000</v>
      </c>
      <c r="R87" s="1"/>
      <c r="S87" s="1"/>
      <c r="AW87" s="32"/>
      <c r="BG87" s="32"/>
      <c r="BI87" s="1"/>
      <c r="BJ87" s="1"/>
      <c r="BL87" s="32"/>
      <c r="BN87" s="1"/>
      <c r="BO87" s="1"/>
      <c r="BP87" s="1"/>
    </row>
    <row r="88" spans="1:68">
      <c r="A88" s="233">
        <v>45765</v>
      </c>
      <c r="B88" s="41" t="s">
        <v>151</v>
      </c>
      <c r="C88" s="41">
        <v>2106</v>
      </c>
      <c r="D88" s="42">
        <v>0</v>
      </c>
      <c r="E88" s="56">
        <v>217250</v>
      </c>
      <c r="J88" s="1"/>
      <c r="K88" s="243"/>
      <c r="L88" s="1"/>
      <c r="M88" s="243">
        <v>46081</v>
      </c>
      <c r="N88" s="1" t="str">
        <v xml:space="preserve">   Premi Saham-Biasa</v>
      </c>
      <c r="O88" s="251">
        <v>3104</v>
      </c>
      <c r="P88" s="1">
        <v>0</v>
      </c>
      <c r="Q88" s="1">
        <v>3000000</v>
      </c>
      <c r="R88" s="1"/>
      <c r="S88" s="1"/>
      <c r="AW88" s="32"/>
      <c r="BG88" s="32"/>
      <c r="BI88" s="1"/>
      <c r="BJ88" s="1"/>
      <c r="BL88" s="32"/>
      <c r="BN88" s="1"/>
      <c r="BO88" s="1"/>
      <c r="BP88" s="1"/>
    </row>
    <row r="89" spans="1:68">
      <c r="A89" s="233">
        <v>45765</v>
      </c>
      <c r="B89" s="41" t="s">
        <v>146</v>
      </c>
      <c r="C89" s="41">
        <v>4103</v>
      </c>
      <c r="D89" s="42">
        <v>22250</v>
      </c>
      <c r="E89" s="56">
        <v>0</v>
      </c>
      <c r="J89" s="1"/>
      <c r="K89" s="243"/>
      <c r="L89" s="1"/>
      <c r="M89" s="243">
        <v>46081</v>
      </c>
      <c r="N89" s="1" t="str">
        <v>Premi Saham-Biasa</v>
      </c>
      <c r="O89" s="251">
        <v>3104</v>
      </c>
      <c r="P89" s="1">
        <v>5000</v>
      </c>
      <c r="Q89" s="1">
        <v>0</v>
      </c>
      <c r="R89" s="1"/>
      <c r="S89" s="1"/>
      <c r="AW89" s="32"/>
      <c r="BG89" s="32"/>
      <c r="BI89" s="1"/>
      <c r="BJ89" s="1"/>
      <c r="BL89" s="32"/>
      <c r="BN89" s="1"/>
      <c r="BO89" s="1"/>
      <c r="BP89" s="1"/>
    </row>
    <row r="90" spans="1:68">
      <c r="A90" s="233">
        <v>45765</v>
      </c>
      <c r="B90" s="41" t="s">
        <v>425</v>
      </c>
      <c r="C90" s="41">
        <v>1103</v>
      </c>
      <c r="D90" s="42">
        <v>0</v>
      </c>
      <c r="E90" s="56">
        <v>22250</v>
      </c>
      <c r="J90" s="1"/>
      <c r="K90" s="243"/>
      <c r="L90" s="1"/>
      <c r="M90" s="243">
        <v>46081</v>
      </c>
      <c r="N90" s="1" t="str">
        <v xml:space="preserve">   Kas</v>
      </c>
      <c r="O90" s="251">
        <v>1101</v>
      </c>
      <c r="P90" s="1">
        <v>0</v>
      </c>
      <c r="Q90" s="1">
        <v>5000</v>
      </c>
      <c r="R90" s="1"/>
      <c r="S90" s="1"/>
      <c r="AW90" s="32"/>
      <c r="BG90" s="32"/>
      <c r="BI90" s="1"/>
      <c r="BJ90" s="1"/>
      <c r="BL90" s="32"/>
      <c r="BN90" s="1"/>
      <c r="BO90" s="1"/>
      <c r="BP90" s="1"/>
    </row>
    <row r="91" spans="1:68">
      <c r="A91" s="233">
        <v>45772</v>
      </c>
      <c r="B91" s="41" t="s">
        <v>125</v>
      </c>
      <c r="C91" s="41">
        <v>5109</v>
      </c>
      <c r="D91" s="42">
        <v>600000</v>
      </c>
      <c r="E91" s="56">
        <v>0</v>
      </c>
      <c r="J91" s="1"/>
      <c r="K91" s="243"/>
      <c r="L91" s="1"/>
      <c r="M91" s="243">
        <v>46084</v>
      </c>
      <c r="N91" s="1" t="str">
        <v>Kendaraan</v>
      </c>
      <c r="O91" s="251">
        <v>1112</v>
      </c>
      <c r="P91" s="1">
        <v>35000</v>
      </c>
      <c r="Q91" s="1">
        <v>0</v>
      </c>
      <c r="R91" s="1"/>
      <c r="S91" s="1"/>
      <c r="AW91" s="32"/>
      <c r="BG91" s="32"/>
      <c r="BI91" s="1"/>
      <c r="BJ91" s="1"/>
      <c r="BL91" s="32"/>
      <c r="BN91" s="1"/>
      <c r="BO91" s="1"/>
      <c r="BP91" s="1"/>
    </row>
    <row r="92" spans="1:68">
      <c r="A92" s="233">
        <v>45772</v>
      </c>
      <c r="B92" s="41" t="s">
        <v>424</v>
      </c>
      <c r="C92" s="41">
        <v>1104</v>
      </c>
      <c r="D92" s="42">
        <v>0</v>
      </c>
      <c r="E92" s="56">
        <v>600000</v>
      </c>
      <c r="J92" s="1"/>
      <c r="K92" s="243"/>
      <c r="L92" s="1"/>
      <c r="M92" s="243">
        <v>46084</v>
      </c>
      <c r="N92" s="1" t="str">
        <v>Premi Saham-Biasa</v>
      </c>
      <c r="O92" s="251">
        <v>3104</v>
      </c>
      <c r="P92" s="1">
        <v>2965000</v>
      </c>
      <c r="Q92" s="1">
        <v>0</v>
      </c>
      <c r="R92" s="1"/>
      <c r="S92" s="1"/>
      <c r="AW92" s="32"/>
      <c r="BG92" s="32"/>
      <c r="BI92" s="1"/>
      <c r="BJ92" s="1"/>
      <c r="BL92" s="32"/>
      <c r="BN92" s="1"/>
      <c r="BO92" s="1"/>
      <c r="BP92" s="1"/>
    </row>
    <row r="93" spans="1:68">
      <c r="A93" s="233">
        <v>45786</v>
      </c>
      <c r="B93" s="41" t="s">
        <v>184</v>
      </c>
      <c r="C93" s="41">
        <v>1104</v>
      </c>
      <c r="D93" s="42">
        <v>1550000</v>
      </c>
      <c r="E93" s="56">
        <v>0</v>
      </c>
      <c r="J93" s="1"/>
      <c r="K93" s="243"/>
      <c r="L93" s="1"/>
      <c r="M93" s="243">
        <v>46084</v>
      </c>
      <c r="N93" s="1" t="str">
        <v xml:space="preserve">   Modal</v>
      </c>
      <c r="O93" s="251">
        <v>3102</v>
      </c>
      <c r="P93" s="1">
        <v>0</v>
      </c>
      <c r="Q93" s="1">
        <v>3000000</v>
      </c>
      <c r="R93" s="1"/>
      <c r="S93" s="1"/>
      <c r="AW93" s="32"/>
      <c r="BG93" s="32"/>
      <c r="BI93" s="1"/>
      <c r="BJ93" s="1"/>
      <c r="BL93" s="32"/>
      <c r="BN93" s="1"/>
      <c r="BO93" s="1"/>
      <c r="BP93" s="1"/>
    </row>
    <row r="94" spans="1:68">
      <c r="A94" s="233">
        <v>45786</v>
      </c>
      <c r="B94" s="41" t="s">
        <v>150</v>
      </c>
      <c r="C94" s="41">
        <v>1114</v>
      </c>
      <c r="D94" s="42">
        <v>80100</v>
      </c>
      <c r="E94" s="56">
        <v>0</v>
      </c>
      <c r="J94" s="1"/>
      <c r="K94" s="243"/>
      <c r="L94" s="1"/>
      <c r="M94" s="243">
        <v>46084</v>
      </c>
      <c r="N94" s="1" t="str">
        <v>Beban Bunga</v>
      </c>
      <c r="O94" s="251">
        <v>5110</v>
      </c>
      <c r="P94" s="1">
        <v>166776.42820917629</v>
      </c>
      <c r="Q94" s="1">
        <v>0</v>
      </c>
      <c r="R94" s="1"/>
      <c r="S94" s="1"/>
      <c r="AW94" s="32"/>
      <c r="BG94" s="32"/>
      <c r="BI94" s="1"/>
      <c r="BJ94" s="1"/>
      <c r="BL94" s="32"/>
      <c r="BN94" s="1"/>
      <c r="BO94" s="1"/>
      <c r="BP94" s="1"/>
    </row>
    <row r="95" spans="1:68">
      <c r="A95" s="233">
        <v>45786</v>
      </c>
      <c r="B95" s="41" t="s">
        <v>427</v>
      </c>
      <c r="C95" s="41">
        <v>2101</v>
      </c>
      <c r="D95" s="42">
        <v>0</v>
      </c>
      <c r="E95" s="56">
        <v>1630100</v>
      </c>
      <c r="J95" s="1"/>
      <c r="K95" s="243"/>
      <c r="L95" s="1"/>
      <c r="M95" s="243">
        <v>46084</v>
      </c>
      <c r="N95" s="1" t="str">
        <v>Premi Obligasi</v>
      </c>
      <c r="O95" s="251">
        <v>2106</v>
      </c>
      <c r="P95" s="1">
        <v>16556.571790823713</v>
      </c>
      <c r="Q95" s="1">
        <v>0</v>
      </c>
      <c r="R95" s="1"/>
      <c r="S95" s="1"/>
      <c r="AW95" s="32"/>
      <c r="BG95" s="32"/>
      <c r="BI95" s="1"/>
      <c r="BJ95" s="1"/>
      <c r="BL95" s="32"/>
      <c r="BN95" s="1"/>
      <c r="BO95" s="1"/>
      <c r="BP95" s="1"/>
    </row>
    <row r="96" spans="1:68">
      <c r="A96" s="233">
        <v>45789</v>
      </c>
      <c r="B96" s="41" t="s">
        <v>195</v>
      </c>
      <c r="C96" s="41">
        <v>2101</v>
      </c>
      <c r="D96" s="42">
        <v>6100</v>
      </c>
      <c r="E96" s="56">
        <v>0</v>
      </c>
      <c r="J96" s="1"/>
      <c r="K96" s="243"/>
      <c r="L96" s="1"/>
      <c r="M96" s="243">
        <v>46084</v>
      </c>
      <c r="N96" s="1" t="str">
        <v xml:space="preserve">   Kas</v>
      </c>
      <c r="O96" s="251">
        <v>1101</v>
      </c>
      <c r="P96" s="1">
        <v>0</v>
      </c>
      <c r="Q96" s="1">
        <v>183333</v>
      </c>
      <c r="R96" s="1"/>
      <c r="S96" s="1"/>
      <c r="AW96" s="32"/>
      <c r="BG96" s="32"/>
      <c r="BI96" s="1"/>
      <c r="BJ96" s="1"/>
      <c r="BL96" s="32"/>
      <c r="BN96" s="1"/>
      <c r="BO96" s="1"/>
      <c r="BP96" s="1"/>
    </row>
    <row r="97" spans="1:68">
      <c r="A97" s="233">
        <v>45789</v>
      </c>
      <c r="B97" s="41" t="s">
        <v>123</v>
      </c>
      <c r="C97" s="41">
        <v>1106</v>
      </c>
      <c r="D97" s="42">
        <v>0</v>
      </c>
      <c r="E97" s="56">
        <v>6100</v>
      </c>
      <c r="J97" s="1"/>
      <c r="K97" s="243"/>
      <c r="L97" s="1"/>
      <c r="M97" s="243">
        <v>46084</v>
      </c>
      <c r="N97" s="1" t="str">
        <v>Kas</v>
      </c>
      <c r="O97" s="251">
        <v>1101</v>
      </c>
      <c r="P97" s="1">
        <v>125000</v>
      </c>
      <c r="Q97" s="1">
        <v>0</v>
      </c>
      <c r="R97" s="1"/>
      <c r="S97" s="1"/>
      <c r="AW97" s="32"/>
      <c r="BG97" s="32"/>
      <c r="BI97" s="1"/>
      <c r="BJ97" s="1"/>
      <c r="BL97" s="32"/>
      <c r="BN97" s="1"/>
      <c r="BO97" s="1"/>
      <c r="BP97" s="1"/>
    </row>
    <row r="98" spans="1:68">
      <c r="A98" s="233">
        <v>45789</v>
      </c>
      <c r="B98" s="41" t="s">
        <v>415</v>
      </c>
      <c r="C98" s="41">
        <v>5102</v>
      </c>
      <c r="D98" s="42">
        <v>600000</v>
      </c>
      <c r="E98" s="56">
        <v>0</v>
      </c>
      <c r="J98" s="1"/>
      <c r="K98" s="243"/>
      <c r="L98" s="1"/>
      <c r="M98" s="243">
        <v>46084</v>
      </c>
      <c r="N98" s="1" t="str">
        <v>Investasi Obligasi</v>
      </c>
      <c r="O98" s="251">
        <v>1116</v>
      </c>
      <c r="P98" s="1">
        <v>14846.652034182596</v>
      </c>
      <c r="Q98" s="1">
        <v>0</v>
      </c>
      <c r="R98" s="1"/>
      <c r="S98" s="1"/>
      <c r="AW98" s="32"/>
      <c r="BG98" s="32"/>
      <c r="BI98" s="1"/>
      <c r="BJ98" s="1"/>
      <c r="BL98" s="32"/>
      <c r="BN98" s="1"/>
      <c r="BO98" s="1"/>
      <c r="BP98" s="1"/>
    </row>
    <row r="99" spans="1:68">
      <c r="A99" s="233">
        <v>45789</v>
      </c>
      <c r="B99" s="41" t="s">
        <v>428</v>
      </c>
      <c r="C99" s="41">
        <v>2102</v>
      </c>
      <c r="D99" s="42">
        <v>0</v>
      </c>
      <c r="E99" s="56">
        <v>60000</v>
      </c>
      <c r="J99" s="1"/>
      <c r="K99" s="243"/>
      <c r="L99" s="1"/>
      <c r="M99" s="243">
        <v>46084</v>
      </c>
      <c r="N99" s="1" t="str">
        <v xml:space="preserve">   Pendapatan Bunga</v>
      </c>
      <c r="O99" s="251">
        <v>4105</v>
      </c>
      <c r="P99" s="1">
        <v>0</v>
      </c>
      <c r="Q99" s="1">
        <v>139846.6520341826</v>
      </c>
      <c r="R99" s="1"/>
      <c r="S99" s="1"/>
      <c r="AW99" s="32"/>
      <c r="BG99" s="32"/>
      <c r="BI99" s="1"/>
      <c r="BJ99" s="1"/>
      <c r="BL99" s="32"/>
      <c r="BN99" s="1"/>
      <c r="BO99" s="1"/>
      <c r="BP99" s="1"/>
    </row>
    <row r="100" spans="1:68">
      <c r="A100" s="233">
        <v>45789</v>
      </c>
      <c r="B100" s="41" t="s">
        <v>429</v>
      </c>
      <c r="C100" s="41">
        <v>2103</v>
      </c>
      <c r="D100" s="42">
        <v>0</v>
      </c>
      <c r="E100" s="56">
        <v>540000</v>
      </c>
      <c r="J100" s="1"/>
      <c r="K100" s="243"/>
      <c r="L100" s="1"/>
      <c r="M100" s="243">
        <v>46084</v>
      </c>
      <c r="N100" s="1" t="str">
        <v>Beban Bunga</v>
      </c>
      <c r="O100" s="251">
        <v>5110</v>
      </c>
      <c r="P100" s="1">
        <v>156446.91150726753</v>
      </c>
      <c r="Q100" s="1">
        <v>0</v>
      </c>
      <c r="R100" s="1"/>
      <c r="S100" s="1"/>
      <c r="AW100" s="32"/>
      <c r="BG100" s="32"/>
      <c r="BI100" s="1"/>
      <c r="BJ100" s="1"/>
      <c r="BL100" s="32"/>
      <c r="BN100" s="1"/>
      <c r="BO100" s="1"/>
      <c r="BP100" s="1"/>
    </row>
    <row r="101" spans="1:68">
      <c r="A101" s="233">
        <v>45792</v>
      </c>
      <c r="B101" s="41" t="s">
        <v>196</v>
      </c>
      <c r="C101" s="41">
        <v>2103</v>
      </c>
      <c r="D101" s="42">
        <v>540000</v>
      </c>
      <c r="E101" s="56">
        <v>0</v>
      </c>
      <c r="J101" s="1"/>
      <c r="K101" s="243"/>
      <c r="L101" s="1"/>
      <c r="M101" s="243">
        <v>46084</v>
      </c>
      <c r="N101" s="1" t="str">
        <v>Wesel Bayar</v>
      </c>
      <c r="O101" s="251">
        <v>2108</v>
      </c>
      <c r="P101" s="1">
        <v>9624.6375569884258</v>
      </c>
      <c r="Q101" s="1">
        <v>0</v>
      </c>
      <c r="R101" s="1"/>
      <c r="S101" s="1"/>
      <c r="AW101" s="32"/>
      <c r="BG101" s="32"/>
      <c r="BI101" s="1"/>
      <c r="BJ101" s="1"/>
      <c r="BL101" s="32"/>
      <c r="BN101" s="1"/>
      <c r="BO101" s="1"/>
      <c r="BP101" s="1"/>
    </row>
    <row r="102" spans="1:68">
      <c r="A102" s="233">
        <v>45792</v>
      </c>
      <c r="B102" s="41" t="s">
        <v>398</v>
      </c>
      <c r="C102" s="41">
        <v>1101</v>
      </c>
      <c r="D102" s="42">
        <v>0</v>
      </c>
      <c r="E102" s="56">
        <v>540000</v>
      </c>
      <c r="J102" s="1"/>
      <c r="K102" s="243"/>
      <c r="L102" s="1"/>
      <c r="M102" s="243">
        <v>46084</v>
      </c>
      <c r="N102" s="1" t="str">
        <v xml:space="preserve">   Utang Bank</v>
      </c>
      <c r="O102" s="251">
        <v>2104</v>
      </c>
      <c r="P102" s="1">
        <v>0</v>
      </c>
      <c r="Q102" s="1">
        <v>166071.54906425596</v>
      </c>
      <c r="R102" s="1"/>
      <c r="S102" s="1"/>
      <c r="AW102" s="32"/>
      <c r="BG102" s="32"/>
      <c r="BI102" s="1"/>
      <c r="BJ102" s="1"/>
      <c r="BL102" s="32"/>
      <c r="BN102" s="1"/>
      <c r="BO102" s="1"/>
      <c r="BP102" s="1"/>
    </row>
    <row r="103" spans="1:68">
      <c r="A103" s="233">
        <v>45792</v>
      </c>
      <c r="B103" s="41" t="s">
        <v>417</v>
      </c>
      <c r="C103" s="41">
        <v>5104</v>
      </c>
      <c r="D103" s="42">
        <v>110000</v>
      </c>
      <c r="E103" s="56">
        <v>0</v>
      </c>
      <c r="J103" s="1"/>
      <c r="K103" s="243"/>
      <c r="L103" s="1"/>
      <c r="M103" s="243">
        <v>46085</v>
      </c>
      <c r="N103" s="1" t="str">
        <v>Persediaan Bahan Baku</v>
      </c>
      <c r="O103" s="251">
        <v>1104</v>
      </c>
      <c r="P103" s="1">
        <v>4675000</v>
      </c>
      <c r="Q103" s="1">
        <v>0</v>
      </c>
      <c r="R103" s="1"/>
      <c r="S103" s="1"/>
      <c r="AW103" s="32"/>
      <c r="BG103" s="32"/>
      <c r="BI103" s="1"/>
      <c r="BJ103" s="1"/>
      <c r="BL103" s="32"/>
      <c r="BN103" s="1"/>
      <c r="BO103" s="1"/>
      <c r="BP103" s="1"/>
    </row>
    <row r="104" spans="1:68">
      <c r="A104" s="233">
        <v>45792</v>
      </c>
      <c r="B104" s="41" t="s">
        <v>398</v>
      </c>
      <c r="C104" s="41">
        <v>1101</v>
      </c>
      <c r="D104" s="42">
        <v>0</v>
      </c>
      <c r="E104" s="56">
        <v>110000</v>
      </c>
      <c r="J104" s="1"/>
      <c r="K104" s="243"/>
      <c r="L104" s="1"/>
      <c r="M104" s="243">
        <v>46085</v>
      </c>
      <c r="N104" s="1" t="str">
        <v>PPN Masukan</v>
      </c>
      <c r="O104" s="251">
        <v>1114</v>
      </c>
      <c r="P104" s="1">
        <v>514250</v>
      </c>
      <c r="Q104" s="1">
        <v>0</v>
      </c>
      <c r="R104" s="1"/>
      <c r="S104" s="1"/>
      <c r="AW104" s="32"/>
      <c r="BG104" s="32"/>
      <c r="BI104" s="1"/>
      <c r="BJ104" s="1"/>
      <c r="BL104" s="32"/>
      <c r="BN104" s="1"/>
      <c r="BO104" s="1"/>
      <c r="BP104" s="1"/>
    </row>
    <row r="105" spans="1:68">
      <c r="A105" s="233">
        <v>45796</v>
      </c>
      <c r="B105" s="41" t="s">
        <v>183</v>
      </c>
      <c r="C105" s="41">
        <v>1103</v>
      </c>
      <c r="D105" s="42">
        <v>7864905</v>
      </c>
      <c r="E105" s="56">
        <v>0</v>
      </c>
      <c r="J105" s="1"/>
      <c r="K105" s="243"/>
      <c r="L105" s="1"/>
      <c r="M105" s="243">
        <v>46085</v>
      </c>
      <c r="N105" s="1" t="str">
        <v xml:space="preserve">   Utang Usaha</v>
      </c>
      <c r="O105" s="251">
        <v>2101</v>
      </c>
      <c r="P105" s="1">
        <v>0</v>
      </c>
      <c r="Q105" s="1">
        <v>5189250</v>
      </c>
      <c r="R105" s="1"/>
      <c r="S105" s="1"/>
      <c r="AW105" s="32"/>
      <c r="BG105" s="32"/>
      <c r="BI105" s="1"/>
      <c r="BJ105" s="1"/>
      <c r="BL105" s="32"/>
      <c r="BN105" s="1"/>
      <c r="BO105" s="1"/>
      <c r="BP105" s="1"/>
    </row>
    <row r="106" spans="1:68">
      <c r="A106" s="233">
        <v>45796</v>
      </c>
      <c r="B106" s="41" t="s">
        <v>149</v>
      </c>
      <c r="C106" s="41">
        <v>4101</v>
      </c>
      <c r="D106" s="42">
        <v>0</v>
      </c>
      <c r="E106" s="56">
        <v>7085500</v>
      </c>
      <c r="J106" s="1"/>
      <c r="K106" s="243"/>
      <c r="L106" s="1"/>
      <c r="M106" s="243">
        <v>46087</v>
      </c>
      <c r="N106" s="1" t="str">
        <v>Investasi Saham</v>
      </c>
      <c r="O106" s="251">
        <v>1115</v>
      </c>
      <c r="P106" s="1">
        <v>3000000</v>
      </c>
      <c r="Q106" s="1">
        <v>0</v>
      </c>
      <c r="R106" s="1"/>
      <c r="S106" s="1"/>
      <c r="AW106" s="32"/>
      <c r="BG106" s="32"/>
      <c r="BI106" s="1"/>
      <c r="BJ106" s="1"/>
      <c r="BL106" s="32"/>
      <c r="BN106" s="1"/>
      <c r="BO106" s="1"/>
      <c r="BP106" s="1"/>
    </row>
    <row r="107" spans="1:68">
      <c r="A107" s="233">
        <v>45796</v>
      </c>
      <c r="B107" s="41" t="s">
        <v>151</v>
      </c>
      <c r="C107" s="41">
        <v>2106</v>
      </c>
      <c r="D107" s="42">
        <v>0</v>
      </c>
      <c r="E107" s="56">
        <v>779405</v>
      </c>
      <c r="J107" s="1"/>
      <c r="K107" s="243"/>
      <c r="L107" s="1"/>
      <c r="M107" s="243">
        <v>46087</v>
      </c>
      <c r="N107" s="1" t="str">
        <v xml:space="preserve">   Kendaraan</v>
      </c>
      <c r="O107" s="251">
        <v>1112</v>
      </c>
      <c r="P107" s="1">
        <v>0</v>
      </c>
      <c r="Q107" s="1">
        <v>35000</v>
      </c>
      <c r="R107" s="1"/>
      <c r="S107" s="1"/>
      <c r="AW107" s="32"/>
      <c r="BG107" s="32"/>
      <c r="BI107" s="1"/>
      <c r="BJ107" s="1"/>
      <c r="BL107" s="32"/>
      <c r="BN107" s="1"/>
      <c r="BO107" s="1"/>
      <c r="BP107" s="1"/>
    </row>
    <row r="108" spans="1:68">
      <c r="A108" s="233">
        <v>45796</v>
      </c>
      <c r="B108" s="41" t="s">
        <v>146</v>
      </c>
      <c r="C108" s="41">
        <v>4103</v>
      </c>
      <c r="D108" s="42">
        <v>54905</v>
      </c>
      <c r="E108" s="56">
        <v>0</v>
      </c>
      <c r="J108" s="1"/>
      <c r="K108" s="243"/>
      <c r="L108" s="1"/>
      <c r="M108" s="243">
        <v>46087</v>
      </c>
      <c r="N108" s="1" t="str">
        <v xml:space="preserve">   Pendapatan Lain-lain</v>
      </c>
      <c r="O108" s="251">
        <v>4103</v>
      </c>
      <c r="P108" s="1">
        <v>0</v>
      </c>
      <c r="Q108" s="1">
        <v>2965000</v>
      </c>
      <c r="R108" s="1"/>
      <c r="S108" s="1"/>
      <c r="AW108" s="32"/>
      <c r="BG108" s="32"/>
      <c r="BI108" s="1"/>
      <c r="BJ108" s="1"/>
      <c r="BL108" s="32"/>
      <c r="BN108" s="1"/>
      <c r="BO108" s="1"/>
      <c r="BP108" s="1"/>
    </row>
    <row r="109" spans="1:68">
      <c r="A109" s="233">
        <v>45796</v>
      </c>
      <c r="B109" s="41" t="s">
        <v>425</v>
      </c>
      <c r="C109" s="41">
        <v>1103</v>
      </c>
      <c r="D109" s="42">
        <v>0</v>
      </c>
      <c r="E109" s="56">
        <v>54905</v>
      </c>
      <c r="J109" s="1"/>
      <c r="K109" s="243"/>
      <c r="L109" s="1"/>
      <c r="M109" s="243">
        <v>46096</v>
      </c>
      <c r="N109" s="1" t="str">
        <v>Beban Tenaga Kerja Langsung</v>
      </c>
      <c r="O109" s="251">
        <v>5102</v>
      </c>
      <c r="P109" s="1">
        <v>600000</v>
      </c>
      <c r="Q109" s="1">
        <v>0</v>
      </c>
      <c r="R109" s="1"/>
      <c r="S109" s="1"/>
      <c r="AW109" s="32"/>
      <c r="BG109" s="32"/>
      <c r="BI109" s="1"/>
      <c r="BJ109" s="1"/>
      <c r="BL109" s="32"/>
      <c r="BN109" s="1"/>
      <c r="BO109" s="1"/>
      <c r="BP109" s="1"/>
    </row>
    <row r="110" spans="1:68">
      <c r="A110" s="233">
        <v>45803</v>
      </c>
      <c r="B110" s="41" t="s">
        <v>125</v>
      </c>
      <c r="C110" s="41">
        <v>5109</v>
      </c>
      <c r="D110" s="42">
        <v>2858888.888888889</v>
      </c>
      <c r="E110" s="56">
        <v>0</v>
      </c>
      <c r="J110" s="1"/>
      <c r="K110" s="243"/>
      <c r="L110" s="1"/>
      <c r="M110" s="243">
        <v>46096</v>
      </c>
      <c r="N110" s="1" t="str">
        <v xml:space="preserve">   Utang Pajak Gaji</v>
      </c>
      <c r="O110" s="251">
        <v>2102</v>
      </c>
      <c r="P110" s="1">
        <v>0</v>
      </c>
      <c r="Q110" s="1">
        <v>60000</v>
      </c>
      <c r="R110" s="1"/>
      <c r="S110" s="1"/>
      <c r="AW110" s="32"/>
      <c r="BG110" s="32"/>
      <c r="BI110" s="1"/>
      <c r="BJ110" s="1"/>
      <c r="BL110" s="32"/>
      <c r="BN110" s="1"/>
      <c r="BO110" s="1"/>
      <c r="BP110" s="1"/>
    </row>
    <row r="111" spans="1:68">
      <c r="A111" s="233">
        <v>45803</v>
      </c>
      <c r="B111" s="41" t="s">
        <v>424</v>
      </c>
      <c r="C111" s="41">
        <v>1104</v>
      </c>
      <c r="D111" s="42">
        <v>0</v>
      </c>
      <c r="E111" s="56">
        <v>2858888.888888889</v>
      </c>
      <c r="J111" s="1"/>
      <c r="K111" s="243"/>
      <c r="L111" s="1"/>
      <c r="M111" s="243">
        <v>46096</v>
      </c>
      <c r="N111" s="1" t="str">
        <v xml:space="preserve">   Utang Gaji</v>
      </c>
      <c r="O111" s="251">
        <v>2103</v>
      </c>
      <c r="P111" s="1">
        <v>0</v>
      </c>
      <c r="Q111" s="1">
        <v>540000</v>
      </c>
      <c r="R111" s="1"/>
      <c r="S111" s="1"/>
      <c r="AW111" s="32"/>
      <c r="BG111" s="32"/>
      <c r="BI111" s="1"/>
      <c r="BJ111" s="1"/>
      <c r="BL111" s="32"/>
      <c r="BN111" s="1"/>
      <c r="BO111" s="1"/>
      <c r="BP111" s="1"/>
    </row>
    <row r="112" spans="1:68">
      <c r="A112" s="233">
        <v>45810</v>
      </c>
      <c r="B112" s="41" t="s">
        <v>184</v>
      </c>
      <c r="C112" s="41">
        <v>1104</v>
      </c>
      <c r="D112" s="42">
        <v>1700000</v>
      </c>
      <c r="E112" s="56">
        <v>0</v>
      </c>
      <c r="J112" s="1"/>
      <c r="K112" s="243"/>
      <c r="L112" s="1"/>
      <c r="M112" s="243">
        <v>46097</v>
      </c>
      <c r="N112" s="1" t="str">
        <v>Utang Gaji</v>
      </c>
      <c r="O112" s="251">
        <v>2103</v>
      </c>
      <c r="P112" s="1">
        <v>540000</v>
      </c>
      <c r="Q112" s="1">
        <v>0</v>
      </c>
      <c r="R112" s="1"/>
      <c r="S112" s="1"/>
      <c r="AW112" s="32"/>
      <c r="BG112" s="32"/>
      <c r="BI112" s="1"/>
      <c r="BJ112" s="1"/>
      <c r="BL112" s="32"/>
      <c r="BN112" s="1"/>
      <c r="BO112" s="1"/>
      <c r="BP112" s="1"/>
    </row>
    <row r="113" spans="1:68">
      <c r="A113" s="233">
        <v>45810</v>
      </c>
      <c r="B113" s="41" t="s">
        <v>150</v>
      </c>
      <c r="C113" s="41">
        <v>1114</v>
      </c>
      <c r="D113" s="42">
        <v>47300</v>
      </c>
      <c r="E113" s="56">
        <v>0</v>
      </c>
      <c r="J113" s="1"/>
      <c r="K113" s="243"/>
      <c r="L113" s="1"/>
      <c r="M113" s="243">
        <v>46097</v>
      </c>
      <c r="N113" s="1" t="str">
        <v xml:space="preserve">   Kas</v>
      </c>
      <c r="O113" s="251">
        <v>1101</v>
      </c>
      <c r="P113" s="1">
        <v>0</v>
      </c>
      <c r="Q113" s="1">
        <v>540000</v>
      </c>
      <c r="R113" s="1"/>
      <c r="S113" s="1"/>
      <c r="AW113" s="32"/>
      <c r="BG113" s="32"/>
      <c r="BI113" s="1"/>
      <c r="BJ113" s="1"/>
      <c r="BL113" s="32"/>
      <c r="BN113" s="1"/>
      <c r="BO113" s="1"/>
      <c r="BP113" s="1"/>
    </row>
    <row r="114" spans="1:68">
      <c r="A114" s="233">
        <v>45810</v>
      </c>
      <c r="B114" s="41" t="s">
        <v>427</v>
      </c>
      <c r="C114" s="41">
        <v>2101</v>
      </c>
      <c r="D114" s="42">
        <v>0</v>
      </c>
      <c r="E114" s="56">
        <v>1747300</v>
      </c>
      <c r="J114" s="1"/>
      <c r="K114" s="243"/>
      <c r="L114" s="1"/>
      <c r="M114" s="243">
        <v>46097</v>
      </c>
      <c r="N114" s="1" t="str">
        <v>Beban Utilitas</v>
      </c>
      <c r="O114" s="251">
        <v>5104</v>
      </c>
      <c r="P114" s="1">
        <v>110000</v>
      </c>
      <c r="Q114" s="1">
        <v>0</v>
      </c>
      <c r="R114" s="1"/>
      <c r="S114" s="1"/>
      <c r="AW114" s="32"/>
      <c r="BG114" s="32"/>
      <c r="BI114" s="1"/>
      <c r="BJ114" s="1"/>
      <c r="BL114" s="32"/>
      <c r="BN114" s="1"/>
      <c r="BO114" s="1"/>
      <c r="BP114" s="1"/>
    </row>
    <row r="115" spans="1:68">
      <c r="A115" s="233">
        <v>45822</v>
      </c>
      <c r="B115" s="41" t="s">
        <v>195</v>
      </c>
      <c r="C115" s="41">
        <v>2101</v>
      </c>
      <c r="D115" s="42">
        <v>7300</v>
      </c>
      <c r="E115" s="56">
        <v>0</v>
      </c>
      <c r="J115" s="1"/>
      <c r="K115" s="243"/>
      <c r="L115" s="1"/>
      <c r="M115" s="243">
        <v>46097</v>
      </c>
      <c r="N115" s="1" t="str">
        <v xml:space="preserve">   Kas</v>
      </c>
      <c r="O115" s="251">
        <v>1101</v>
      </c>
      <c r="P115" s="1">
        <v>0</v>
      </c>
      <c r="Q115" s="1">
        <v>110000</v>
      </c>
      <c r="R115" s="1"/>
      <c r="S115" s="1"/>
      <c r="AW115" s="32"/>
      <c r="BG115" s="32"/>
      <c r="BI115" s="1"/>
      <c r="BJ115" s="1"/>
      <c r="BL115" s="32"/>
      <c r="BN115" s="1"/>
      <c r="BO115" s="1"/>
      <c r="BP115" s="1"/>
    </row>
    <row r="116" spans="1:68">
      <c r="A116" s="233">
        <v>45822</v>
      </c>
      <c r="B116" s="41" t="s">
        <v>123</v>
      </c>
      <c r="C116" s="41">
        <v>1106</v>
      </c>
      <c r="D116" s="42">
        <v>0</v>
      </c>
      <c r="E116" s="56">
        <v>7300</v>
      </c>
      <c r="J116" s="1"/>
      <c r="K116" s="243"/>
      <c r="L116" s="1"/>
      <c r="M116" s="243">
        <v>46099</v>
      </c>
      <c r="N116" s="1" t="str">
        <v>Investasi Saham</v>
      </c>
      <c r="O116" s="251">
        <v>1115</v>
      </c>
      <c r="P116" s="1">
        <v>8000000</v>
      </c>
      <c r="Q116" s="1">
        <v>0</v>
      </c>
      <c r="R116" s="1"/>
      <c r="S116" s="1"/>
      <c r="AW116" s="32"/>
      <c r="BG116" s="32"/>
      <c r="BI116" s="1"/>
      <c r="BJ116" s="1"/>
      <c r="BL116" s="32"/>
      <c r="BN116" s="1"/>
      <c r="BO116" s="1"/>
      <c r="BP116" s="1"/>
    </row>
    <row r="117" spans="1:68">
      <c r="A117" s="233">
        <v>45826</v>
      </c>
      <c r="B117" s="41" t="s">
        <v>415</v>
      </c>
      <c r="C117" s="41">
        <v>5102</v>
      </c>
      <c r="D117" s="42">
        <v>600000</v>
      </c>
      <c r="E117" s="56">
        <v>0</v>
      </c>
      <c r="J117" s="1"/>
      <c r="K117" s="243"/>
      <c r="L117" s="1"/>
      <c r="M117" s="243">
        <v>46099</v>
      </c>
      <c r="N117" s="1" t="str">
        <v xml:space="preserve">   Kas</v>
      </c>
      <c r="O117" s="251">
        <v>1101</v>
      </c>
      <c r="P117" s="1">
        <v>0</v>
      </c>
      <c r="Q117" s="1">
        <v>8000000</v>
      </c>
      <c r="R117" s="1"/>
      <c r="S117" s="1"/>
      <c r="AW117" s="32"/>
      <c r="BG117" s="32"/>
      <c r="BI117" s="1"/>
      <c r="BJ117" s="1"/>
      <c r="BL117" s="32"/>
      <c r="BN117" s="1"/>
      <c r="BO117" s="1"/>
      <c r="BP117" s="1"/>
    </row>
    <row r="118" spans="1:68">
      <c r="A118" s="233">
        <v>45826</v>
      </c>
      <c r="B118" s="41" t="s">
        <v>428</v>
      </c>
      <c r="C118" s="41">
        <v>2102</v>
      </c>
      <c r="D118" s="42">
        <v>0</v>
      </c>
      <c r="E118" s="56">
        <v>60000</v>
      </c>
      <c r="J118" s="1"/>
      <c r="K118" s="243"/>
      <c r="L118" s="1"/>
      <c r="M118" s="243">
        <v>46103</v>
      </c>
      <c r="N118" s="1" t="str">
        <v>Piutang Usaha</v>
      </c>
      <c r="O118" s="251">
        <v>1103</v>
      </c>
      <c r="P118" s="1">
        <v>8993220</v>
      </c>
      <c r="Q118" s="1">
        <v>0</v>
      </c>
      <c r="R118" s="1"/>
      <c r="S118" s="1"/>
      <c r="AW118" s="32"/>
      <c r="BG118" s="32"/>
      <c r="BI118" s="1"/>
      <c r="BJ118" s="1"/>
      <c r="BL118" s="32"/>
      <c r="BN118" s="1"/>
      <c r="BO118" s="1"/>
      <c r="BP118" s="1"/>
    </row>
    <row r="119" spans="1:68">
      <c r="A119" s="233">
        <v>45826</v>
      </c>
      <c r="B119" s="41" t="s">
        <v>429</v>
      </c>
      <c r="C119" s="41">
        <v>2103</v>
      </c>
      <c r="D119" s="42">
        <v>0</v>
      </c>
      <c r="E119" s="56">
        <v>540000</v>
      </c>
      <c r="J119" s="1"/>
      <c r="K119" s="243"/>
      <c r="L119" s="1"/>
      <c r="M119" s="243">
        <v>46103</v>
      </c>
      <c r="N119" s="1" t="str">
        <v xml:space="preserve">   Penjualan Produk Garment</v>
      </c>
      <c r="O119" s="251">
        <v>4101</v>
      </c>
      <c r="P119" s="1">
        <v>0</v>
      </c>
      <c r="Q119" s="1">
        <v>8102000</v>
      </c>
      <c r="R119" s="1"/>
      <c r="S119" s="1"/>
      <c r="AW119" s="32"/>
      <c r="BG119" s="32"/>
      <c r="BI119" s="1"/>
      <c r="BJ119" s="1"/>
      <c r="BL119" s="32"/>
      <c r="BN119" s="1"/>
      <c r="BO119" s="1"/>
      <c r="BP119" s="1"/>
    </row>
    <row r="120" spans="1:68">
      <c r="A120" s="233">
        <v>45828</v>
      </c>
      <c r="B120" s="41" t="s">
        <v>196</v>
      </c>
      <c r="C120" s="41">
        <v>2103</v>
      </c>
      <c r="D120" s="42">
        <v>540000</v>
      </c>
      <c r="E120" s="56">
        <v>0</v>
      </c>
      <c r="J120" s="1"/>
      <c r="K120" s="243"/>
      <c r="L120" s="1"/>
      <c r="M120" s="243">
        <v>46103</v>
      </c>
      <c r="N120" s="1" t="str">
        <v xml:space="preserve">   PPN Keluaran</v>
      </c>
      <c r="O120" s="251">
        <v>2106</v>
      </c>
      <c r="P120" s="1">
        <v>0</v>
      </c>
      <c r="Q120" s="1">
        <v>891220</v>
      </c>
      <c r="R120" s="1"/>
      <c r="S120" s="1"/>
      <c r="AW120" s="32"/>
      <c r="BG120" s="32"/>
      <c r="BI120" s="1"/>
      <c r="BJ120" s="1"/>
      <c r="BL120" s="32"/>
      <c r="BN120" s="1"/>
      <c r="BO120" s="1"/>
      <c r="BP120" s="1"/>
    </row>
    <row r="121" spans="1:68">
      <c r="A121" s="233">
        <v>45828</v>
      </c>
      <c r="B121" s="41" t="s">
        <v>398</v>
      </c>
      <c r="C121" s="41">
        <v>1101</v>
      </c>
      <c r="D121" s="42">
        <v>0</v>
      </c>
      <c r="E121" s="56">
        <v>540000</v>
      </c>
      <c r="J121" s="1"/>
      <c r="K121" s="243"/>
      <c r="L121" s="1"/>
      <c r="M121" s="243">
        <v>46103</v>
      </c>
      <c r="N121" s="1" t="str">
        <v>Diskon Penjualan</v>
      </c>
      <c r="O121" s="251">
        <v>4103</v>
      </c>
      <c r="P121" s="1">
        <v>153220</v>
      </c>
      <c r="Q121" s="1">
        <v>0</v>
      </c>
      <c r="R121" s="1"/>
      <c r="S121" s="1"/>
      <c r="AW121" s="32"/>
      <c r="BG121" s="32"/>
      <c r="BI121" s="1"/>
      <c r="BJ121" s="1"/>
      <c r="BL121" s="32"/>
      <c r="BN121" s="1"/>
      <c r="BO121" s="1"/>
      <c r="BP121" s="1"/>
    </row>
    <row r="122" spans="1:68">
      <c r="A122" s="233">
        <v>45832</v>
      </c>
      <c r="B122" s="41" t="s">
        <v>417</v>
      </c>
      <c r="C122" s="41">
        <v>5104</v>
      </c>
      <c r="D122" s="42">
        <v>110000</v>
      </c>
      <c r="E122" s="56">
        <v>0</v>
      </c>
      <c r="J122" s="1"/>
      <c r="K122" s="243"/>
      <c r="L122" s="1"/>
      <c r="M122" s="243">
        <v>46103</v>
      </c>
      <c r="N122" s="1" t="str">
        <v xml:space="preserve">   Piutang Usaha</v>
      </c>
      <c r="O122" s="251">
        <v>1103</v>
      </c>
      <c r="P122" s="1">
        <v>0</v>
      </c>
      <c r="Q122" s="1">
        <v>153220</v>
      </c>
      <c r="R122" s="1"/>
      <c r="S122" s="1"/>
      <c r="AW122" s="32"/>
      <c r="BG122" s="32"/>
      <c r="BI122" s="1"/>
      <c r="BJ122" s="1"/>
      <c r="BL122" s="32"/>
      <c r="BN122" s="1"/>
      <c r="BO122" s="1"/>
      <c r="BP122" s="1"/>
    </row>
    <row r="123" spans="1:68">
      <c r="A123" s="233">
        <v>45832</v>
      </c>
      <c r="B123" s="41" t="s">
        <v>398</v>
      </c>
      <c r="C123" s="41">
        <v>1101</v>
      </c>
      <c r="D123" s="42">
        <v>0</v>
      </c>
      <c r="E123" s="56">
        <v>110000</v>
      </c>
      <c r="J123" s="1"/>
      <c r="K123" s="243"/>
      <c r="L123" s="1"/>
      <c r="M123" s="243">
        <v>46103</v>
      </c>
      <c r="N123" s="1" t="str">
        <v>Beban Pokok Penjualan</v>
      </c>
      <c r="O123" s="251">
        <v>5109</v>
      </c>
      <c r="P123" s="1">
        <v>3740000</v>
      </c>
      <c r="Q123" s="1">
        <v>0</v>
      </c>
      <c r="R123" s="1"/>
      <c r="S123" s="1"/>
      <c r="AW123" s="32"/>
      <c r="BG123" s="32"/>
      <c r="BI123" s="1"/>
      <c r="BJ123" s="1"/>
      <c r="BL123" s="32"/>
      <c r="BN123" s="1"/>
      <c r="BO123" s="1"/>
      <c r="BP123" s="1"/>
    </row>
    <row r="124" spans="1:68">
      <c r="A124" s="233">
        <v>45833</v>
      </c>
      <c r="B124" s="41" t="s">
        <v>183</v>
      </c>
      <c r="C124" s="41">
        <v>1103</v>
      </c>
      <c r="D124" s="42">
        <v>4819509</v>
      </c>
      <c r="E124" s="56">
        <v>0</v>
      </c>
      <c r="J124" s="1"/>
      <c r="K124" s="243"/>
      <c r="L124" s="1"/>
      <c r="M124" s="243">
        <v>46103</v>
      </c>
      <c r="N124" s="1" t="str">
        <v xml:space="preserve">   Persediaan Bahan Baku</v>
      </c>
      <c r="O124" s="251">
        <v>1104</v>
      </c>
      <c r="P124" s="1">
        <v>0</v>
      </c>
      <c r="Q124" s="1">
        <v>3740000</v>
      </c>
      <c r="R124" s="1"/>
      <c r="S124" s="1"/>
      <c r="AW124" s="32"/>
      <c r="BG124" s="32"/>
      <c r="BI124" s="1"/>
      <c r="BJ124" s="1"/>
      <c r="BL124" s="32"/>
      <c r="BN124" s="1"/>
      <c r="BO124" s="1"/>
      <c r="BP124" s="1"/>
    </row>
    <row r="125" spans="1:68">
      <c r="A125" s="233">
        <v>45833</v>
      </c>
      <c r="B125" s="41" t="s">
        <v>149</v>
      </c>
      <c r="C125" s="41">
        <v>4101</v>
      </c>
      <c r="D125" s="42">
        <v>0</v>
      </c>
      <c r="E125" s="56">
        <v>4341900</v>
      </c>
      <c r="J125" s="1"/>
      <c r="K125" s="243"/>
      <c r="L125" s="1"/>
      <c r="M125" s="243">
        <v>46103</v>
      </c>
      <c r="N125" s="1" t="str">
        <v>Beban Pemasaran &amp; Iklan</v>
      </c>
      <c r="O125" s="251">
        <v>5106</v>
      </c>
      <c r="P125" s="1">
        <v>740</v>
      </c>
      <c r="Q125" s="1">
        <v>0</v>
      </c>
      <c r="R125" s="1"/>
      <c r="S125" s="1"/>
      <c r="AW125" s="32"/>
      <c r="BG125" s="32"/>
      <c r="BI125" s="1"/>
      <c r="BJ125" s="1"/>
      <c r="BL125" s="32"/>
      <c r="BN125" s="1"/>
      <c r="BO125" s="1"/>
      <c r="BP125" s="1"/>
    </row>
    <row r="126" spans="1:68">
      <c r="A126" s="233">
        <v>45833</v>
      </c>
      <c r="B126" s="41" t="s">
        <v>151</v>
      </c>
      <c r="C126" s="41">
        <v>2106</v>
      </c>
      <c r="D126" s="42">
        <v>0</v>
      </c>
      <c r="E126" s="56">
        <v>477609</v>
      </c>
      <c r="J126" s="1"/>
      <c r="K126" s="243"/>
      <c r="L126" s="1"/>
      <c r="M126" s="243">
        <v>46103</v>
      </c>
      <c r="N126" s="1" t="str">
        <v xml:space="preserve">   Utang Kontinjensi Pemasaran</v>
      </c>
      <c r="O126" s="251">
        <v>2109</v>
      </c>
      <c r="P126" s="1">
        <v>0</v>
      </c>
      <c r="Q126" s="1">
        <v>740</v>
      </c>
      <c r="R126" s="1"/>
      <c r="S126" s="1"/>
      <c r="AW126" s="32"/>
      <c r="BG126" s="32"/>
      <c r="BI126" s="1"/>
      <c r="BJ126" s="1"/>
      <c r="BL126" s="32"/>
      <c r="BN126" s="1"/>
      <c r="BO126" s="1"/>
      <c r="BP126" s="1"/>
    </row>
    <row r="127" spans="1:68">
      <c r="A127" s="233">
        <v>45833</v>
      </c>
      <c r="B127" s="41" t="s">
        <v>146</v>
      </c>
      <c r="C127" s="41">
        <v>4103</v>
      </c>
      <c r="D127" s="42">
        <v>49509</v>
      </c>
      <c r="E127" s="56">
        <v>0</v>
      </c>
      <c r="J127" s="1"/>
      <c r="K127" s="243"/>
      <c r="L127" s="1"/>
      <c r="M127" s="243">
        <v>46103</v>
      </c>
      <c r="N127" s="1" t="str">
        <v>Beban Pemasaran &amp; Iklan</v>
      </c>
      <c r="O127" s="251">
        <v>5106</v>
      </c>
      <c r="P127" s="1">
        <v>7194576</v>
      </c>
      <c r="Q127" s="1">
        <v>0</v>
      </c>
      <c r="R127" s="1"/>
      <c r="S127" s="1"/>
      <c r="AW127" s="32"/>
      <c r="BG127" s="32"/>
      <c r="BI127" s="1"/>
      <c r="BJ127" s="1"/>
      <c r="BL127" s="32"/>
      <c r="BN127" s="1"/>
      <c r="BO127" s="1"/>
      <c r="BP127" s="1"/>
    </row>
    <row r="128" spans="1:68">
      <c r="A128" s="233">
        <v>45833</v>
      </c>
      <c r="B128" s="41" t="s">
        <v>425</v>
      </c>
      <c r="C128" s="41">
        <v>1103</v>
      </c>
      <c r="D128" s="42">
        <v>0</v>
      </c>
      <c r="E128" s="56">
        <v>49509</v>
      </c>
      <c r="J128" s="1"/>
      <c r="K128" s="243"/>
      <c r="L128" s="1"/>
      <c r="M128" s="243">
        <v>46103</v>
      </c>
      <c r="N128" s="1" t="str">
        <v xml:space="preserve">   Utang Kontinjensi Pemasaran</v>
      </c>
      <c r="O128" s="251">
        <v>2109</v>
      </c>
      <c r="P128" s="1">
        <v>0</v>
      </c>
      <c r="Q128" s="1">
        <v>7194576</v>
      </c>
      <c r="R128" s="1"/>
      <c r="S128" s="1"/>
      <c r="AW128" s="32"/>
      <c r="BG128" s="32"/>
      <c r="BI128" s="1"/>
      <c r="BJ128" s="1"/>
      <c r="BL128" s="32"/>
      <c r="BN128" s="1"/>
      <c r="BO128" s="1"/>
      <c r="BP128" s="1"/>
    </row>
    <row r="129" spans="1:68">
      <c r="A129" s="233">
        <v>45835</v>
      </c>
      <c r="B129" s="41" t="s">
        <v>125</v>
      </c>
      <c r="C129" s="41">
        <v>5109</v>
      </c>
      <c r="D129" s="42">
        <v>1730222.2222222222</v>
      </c>
      <c r="E129" s="56">
        <v>0</v>
      </c>
      <c r="J129" s="1"/>
      <c r="K129" s="243"/>
      <c r="L129" s="1"/>
      <c r="M129" s="243">
        <v>46109</v>
      </c>
      <c r="N129" s="1" t="str">
        <v>Utang Kontinjensi Pemasaran</v>
      </c>
      <c r="O129" s="251">
        <v>2109</v>
      </c>
      <c r="P129" s="1">
        <v>296</v>
      </c>
      <c r="Q129" s="1">
        <v>0</v>
      </c>
      <c r="R129" s="1"/>
      <c r="S129" s="1"/>
      <c r="AW129" s="32"/>
      <c r="BG129" s="32"/>
      <c r="BI129" s="1"/>
      <c r="BJ129" s="1"/>
      <c r="BL129" s="32"/>
      <c r="BN129" s="1"/>
      <c r="BO129" s="1"/>
      <c r="BP129" s="1"/>
    </row>
    <row r="130" spans="1:68">
      <c r="A130" s="233">
        <v>45835</v>
      </c>
      <c r="B130" s="41" t="s">
        <v>424</v>
      </c>
      <c r="C130" s="41">
        <v>1104</v>
      </c>
      <c r="D130" s="42">
        <v>0</v>
      </c>
      <c r="E130" s="56">
        <v>1730222.2222222222</v>
      </c>
      <c r="J130" s="1"/>
      <c r="K130" s="243"/>
      <c r="L130" s="1"/>
      <c r="M130" s="243">
        <v>46109</v>
      </c>
      <c r="N130" s="1" t="str">
        <v xml:space="preserve">   Pendapatan Lain-lain</v>
      </c>
      <c r="O130" s="251">
        <v>4103</v>
      </c>
      <c r="P130" s="1">
        <v>0</v>
      </c>
      <c r="Q130" s="1">
        <v>296</v>
      </c>
      <c r="R130" s="1"/>
      <c r="S130" s="1"/>
      <c r="AW130" s="32"/>
      <c r="BG130" s="32"/>
      <c r="BI130" s="1"/>
      <c r="BJ130" s="1"/>
      <c r="BL130" s="32"/>
      <c r="BN130" s="1"/>
      <c r="BO130" s="1"/>
      <c r="BP130" s="1"/>
    </row>
    <row r="131" spans="1:68">
      <c r="A131" s="233">
        <v>45996</v>
      </c>
      <c r="B131" s="41" t="s">
        <v>184</v>
      </c>
      <c r="C131" s="41">
        <v>1104</v>
      </c>
      <c r="D131" s="42">
        <v>4780000</v>
      </c>
      <c r="E131" s="56">
        <v>0</v>
      </c>
      <c r="J131" s="1"/>
      <c r="K131" s="243"/>
      <c r="L131" s="1"/>
      <c r="M131" s="243">
        <v>46109</v>
      </c>
      <c r="N131" s="1" t="str">
        <v>Retur Penjualan</v>
      </c>
      <c r="O131" s="251">
        <v>4102</v>
      </c>
      <c r="P131" s="1">
        <v>4848500</v>
      </c>
      <c r="Q131" s="1">
        <v>0</v>
      </c>
      <c r="R131" s="1"/>
      <c r="S131" s="1"/>
      <c r="AW131" s="32"/>
      <c r="BG131" s="32"/>
      <c r="BI131" s="1"/>
      <c r="BJ131" s="1"/>
      <c r="BL131" s="32"/>
      <c r="BN131" s="1"/>
      <c r="BO131" s="1"/>
      <c r="BP131" s="1"/>
    </row>
    <row r="132" spans="1:68">
      <c r="A132" s="233">
        <v>45996</v>
      </c>
      <c r="B132" s="41" t="s">
        <v>150</v>
      </c>
      <c r="C132" s="41">
        <v>1114</v>
      </c>
      <c r="D132" s="42">
        <v>148639</v>
      </c>
      <c r="E132" s="56">
        <v>0</v>
      </c>
      <c r="J132" s="1"/>
      <c r="K132" s="243"/>
      <c r="L132" s="1"/>
      <c r="M132" s="243">
        <v>46109</v>
      </c>
      <c r="N132" s="1" t="str">
        <v>PPN Keluaran</v>
      </c>
      <c r="O132" s="251">
        <v>2106</v>
      </c>
      <c r="P132" s="1">
        <v>533335</v>
      </c>
      <c r="Q132" s="1">
        <v>0</v>
      </c>
      <c r="R132" s="1"/>
      <c r="S132" s="1"/>
      <c r="AW132" s="32"/>
      <c r="BG132" s="32"/>
      <c r="BI132" s="1"/>
      <c r="BJ132" s="1"/>
      <c r="BL132" s="32"/>
      <c r="BN132" s="1"/>
      <c r="BO132" s="1"/>
      <c r="BP132" s="1"/>
    </row>
    <row r="133" spans="1:68">
      <c r="A133" s="233">
        <v>45996</v>
      </c>
      <c r="B133" s="41" t="s">
        <v>427</v>
      </c>
      <c r="C133" s="41">
        <v>2101</v>
      </c>
      <c r="D133" s="42">
        <v>0</v>
      </c>
      <c r="E133" s="56">
        <v>4928639</v>
      </c>
      <c r="J133" s="1"/>
      <c r="K133" s="243"/>
      <c r="L133" s="1"/>
      <c r="M133" s="243">
        <v>46109</v>
      </c>
      <c r="N133" s="1" t="str">
        <v xml:space="preserve">   Piutang Usaha</v>
      </c>
      <c r="O133" s="251">
        <v>1103</v>
      </c>
      <c r="P133" s="1">
        <v>0</v>
      </c>
      <c r="Q133" s="1">
        <v>5280000</v>
      </c>
      <c r="R133" s="1"/>
      <c r="S133" s="1"/>
      <c r="AW133" s="32"/>
      <c r="BG133" s="32"/>
      <c r="BI133" s="1"/>
      <c r="BJ133" s="1"/>
      <c r="BL133" s="32"/>
      <c r="BN133" s="1"/>
      <c r="BO133" s="1"/>
      <c r="BP133" s="1"/>
    </row>
    <row r="134" spans="1:68">
      <c r="A134" s="233">
        <v>46000</v>
      </c>
      <c r="B134" s="41" t="s">
        <v>415</v>
      </c>
      <c r="C134" s="41">
        <v>5102</v>
      </c>
      <c r="D134" s="42">
        <v>600000</v>
      </c>
      <c r="E134" s="56">
        <v>0</v>
      </c>
      <c r="J134" s="1"/>
      <c r="K134" s="243"/>
      <c r="L134" s="1"/>
      <c r="M134" s="243">
        <v>46109</v>
      </c>
      <c r="N134" s="1" t="str">
        <v xml:space="preserve">   Diskon Penjualan</v>
      </c>
      <c r="O134" s="251">
        <v>4103</v>
      </c>
      <c r="P134" s="1">
        <v>0</v>
      </c>
      <c r="Q134" s="1">
        <v>101835</v>
      </c>
      <c r="R134" s="1"/>
      <c r="S134" s="1"/>
      <c r="AW134" s="32"/>
      <c r="BG134" s="32"/>
      <c r="BI134" s="1"/>
      <c r="BJ134" s="1"/>
      <c r="BL134" s="32"/>
      <c r="BN134" s="1"/>
      <c r="BO134" s="1"/>
      <c r="BP134" s="1"/>
    </row>
    <row r="135" spans="1:68">
      <c r="A135" s="233">
        <v>46000</v>
      </c>
      <c r="B135" s="41" t="s">
        <v>428</v>
      </c>
      <c r="C135" s="41">
        <v>2102</v>
      </c>
      <c r="D135" s="42">
        <v>0</v>
      </c>
      <c r="E135" s="56">
        <v>60000</v>
      </c>
      <c r="J135" s="1"/>
      <c r="K135" s="243"/>
      <c r="L135" s="1"/>
      <c r="M135" s="243">
        <v>46109</v>
      </c>
      <c r="N135" s="1" t="str">
        <v>Persediaan Bahan Baku</v>
      </c>
      <c r="O135" s="251">
        <v>1104</v>
      </c>
      <c r="P135" s="1">
        <v>1504904.7619047619</v>
      </c>
      <c r="Q135" s="1">
        <v>0</v>
      </c>
      <c r="R135" s="1"/>
      <c r="S135" s="1"/>
      <c r="AW135" s="32"/>
      <c r="BG135" s="32"/>
      <c r="BI135" s="1"/>
      <c r="BJ135" s="1"/>
      <c r="BL135" s="32"/>
      <c r="BN135" s="1"/>
      <c r="BO135" s="1"/>
      <c r="BP135" s="1"/>
    </row>
    <row r="136" spans="1:68">
      <c r="A136" s="233">
        <v>46000</v>
      </c>
      <c r="B136" s="41" t="s">
        <v>429</v>
      </c>
      <c r="C136" s="41">
        <v>2103</v>
      </c>
      <c r="D136" s="42">
        <v>0</v>
      </c>
      <c r="E136" s="56">
        <v>540000</v>
      </c>
      <c r="J136" s="1"/>
      <c r="K136" s="243"/>
      <c r="L136" s="1"/>
      <c r="M136" s="243">
        <v>46109</v>
      </c>
      <c r="N136" s="1" t="str">
        <v xml:space="preserve">   Beban Pokok Penjualan</v>
      </c>
      <c r="O136" s="251">
        <v>5109</v>
      </c>
      <c r="P136" s="1">
        <v>0</v>
      </c>
      <c r="Q136" s="1">
        <v>1504904.7619047619</v>
      </c>
      <c r="R136" s="1"/>
      <c r="S136" s="1"/>
      <c r="AW136" s="32"/>
      <c r="BG136" s="32"/>
      <c r="BI136" s="1"/>
      <c r="BJ136" s="1"/>
      <c r="BL136" s="32"/>
      <c r="BN136" s="1"/>
      <c r="BO136" s="1"/>
      <c r="BP136" s="1"/>
    </row>
    <row r="137" spans="1:68">
      <c r="A137" s="233">
        <v>46003</v>
      </c>
      <c r="B137" s="41" t="s">
        <v>196</v>
      </c>
      <c r="C137" s="41">
        <v>2103</v>
      </c>
      <c r="D137" s="42">
        <v>540000</v>
      </c>
      <c r="E137" s="56">
        <v>0</v>
      </c>
      <c r="J137" s="1"/>
      <c r="K137" s="243"/>
      <c r="L137" s="1"/>
      <c r="M137" s="243">
        <v>46110</v>
      </c>
      <c r="N137" s="1" t="str">
        <v>Utang Kontinjensi Pemasaran</v>
      </c>
      <c r="O137" s="251">
        <v>2109</v>
      </c>
      <c r="P137" s="1">
        <v>4305468</v>
      </c>
      <c r="Q137" s="1">
        <v>0</v>
      </c>
      <c r="R137" s="1"/>
      <c r="S137" s="1"/>
      <c r="AW137" s="32"/>
      <c r="BG137" s="32"/>
      <c r="BI137" s="1"/>
      <c r="BJ137" s="1"/>
      <c r="BL137" s="32"/>
      <c r="BN137" s="1"/>
      <c r="BO137" s="1"/>
      <c r="BP137" s="1"/>
    </row>
    <row r="138" spans="1:68">
      <c r="A138" s="233">
        <v>46003</v>
      </c>
      <c r="B138" s="41" t="s">
        <v>398</v>
      </c>
      <c r="C138" s="41">
        <v>1101</v>
      </c>
      <c r="D138" s="42">
        <v>0</v>
      </c>
      <c r="E138" s="56">
        <v>540000</v>
      </c>
      <c r="J138" s="1"/>
      <c r="K138" s="243"/>
      <c r="L138" s="1"/>
      <c r="M138" s="243">
        <v>46110</v>
      </c>
      <c r="N138" s="1" t="str">
        <v xml:space="preserve">   Pendapatan Lain-lain</v>
      </c>
      <c r="O138" s="251">
        <v>4103</v>
      </c>
      <c r="P138" s="1">
        <v>0</v>
      </c>
      <c r="Q138" s="1">
        <v>4305468</v>
      </c>
      <c r="R138" s="1"/>
      <c r="S138" s="1"/>
      <c r="AW138" s="32"/>
      <c r="BG138" s="32"/>
      <c r="BI138" s="1"/>
      <c r="BJ138" s="1"/>
      <c r="BL138" s="32"/>
      <c r="BN138" s="1"/>
      <c r="BO138" s="1"/>
      <c r="BP138" s="1"/>
    </row>
    <row r="139" spans="1:68">
      <c r="A139" s="233">
        <v>46003</v>
      </c>
      <c r="B139" s="41" t="s">
        <v>417</v>
      </c>
      <c r="C139" s="41">
        <v>5104</v>
      </c>
      <c r="D139" s="42">
        <v>110000</v>
      </c>
      <c r="E139" s="56">
        <v>0</v>
      </c>
      <c r="J139" s="1"/>
      <c r="K139" s="243"/>
      <c r="L139" s="1"/>
      <c r="M139" s="243">
        <v>46111</v>
      </c>
      <c r="N139" s="1" t="str">
        <v>Piutang Usaha</v>
      </c>
      <c r="O139" s="251">
        <v>1103</v>
      </c>
      <c r="P139" s="1">
        <v>4305468</v>
      </c>
      <c r="Q139" s="1">
        <v>0</v>
      </c>
      <c r="R139" s="1"/>
      <c r="S139" s="1"/>
      <c r="AW139" s="32"/>
      <c r="BG139" s="32"/>
      <c r="BI139" s="1"/>
      <c r="BJ139" s="1"/>
      <c r="BL139" s="32"/>
      <c r="BN139" s="1"/>
      <c r="BO139" s="1"/>
      <c r="BP139" s="1"/>
    </row>
    <row r="140" spans="1:68">
      <c r="A140" s="233">
        <v>46003</v>
      </c>
      <c r="B140" s="41" t="s">
        <v>398</v>
      </c>
      <c r="C140" s="41">
        <v>1101</v>
      </c>
      <c r="D140" s="42">
        <v>0</v>
      </c>
      <c r="E140" s="56">
        <v>110000</v>
      </c>
      <c r="J140" s="1"/>
      <c r="K140" s="243"/>
      <c r="L140" s="1"/>
      <c r="M140" s="243">
        <v>46111</v>
      </c>
      <c r="N140" s="1" t="str">
        <v xml:space="preserve">   Penjualan Produk Garment</v>
      </c>
      <c r="O140" s="251">
        <v>4101</v>
      </c>
      <c r="P140" s="1">
        <v>0</v>
      </c>
      <c r="Q140" s="1">
        <v>3878800</v>
      </c>
      <c r="R140" s="1"/>
      <c r="S140" s="1"/>
      <c r="AW140" s="32"/>
      <c r="BG140" s="32"/>
      <c r="BI140" s="1"/>
      <c r="BJ140" s="1"/>
      <c r="BL140" s="32"/>
      <c r="BN140" s="1"/>
      <c r="BO140" s="1"/>
      <c r="BP140" s="1"/>
    </row>
    <row r="141" spans="1:68">
      <c r="A141" s="233">
        <v>46006</v>
      </c>
      <c r="B141" s="41" t="s">
        <v>183</v>
      </c>
      <c r="C141" s="41">
        <v>1103</v>
      </c>
      <c r="D141" s="42">
        <v>8018424.0545454547</v>
      </c>
      <c r="E141" s="56">
        <v>0</v>
      </c>
      <c r="J141" s="1"/>
      <c r="K141" s="243"/>
      <c r="L141" s="1"/>
      <c r="M141" s="243">
        <v>46111</v>
      </c>
      <c r="N141" s="1" t="str">
        <v xml:space="preserve">   PPN Keluaran</v>
      </c>
      <c r="O141" s="251">
        <v>2106</v>
      </c>
      <c r="P141" s="1">
        <v>0</v>
      </c>
      <c r="Q141" s="1">
        <v>426668</v>
      </c>
      <c r="R141" s="1"/>
      <c r="S141" s="1"/>
      <c r="AW141" s="32"/>
      <c r="BG141" s="32"/>
      <c r="BI141" s="1"/>
      <c r="BJ141" s="1"/>
      <c r="BL141" s="32"/>
      <c r="BN141" s="1"/>
      <c r="BO141" s="1"/>
      <c r="BP141" s="1"/>
    </row>
    <row r="142" spans="1:68">
      <c r="A142" s="233">
        <v>46006</v>
      </c>
      <c r="B142" s="41" t="s">
        <v>149</v>
      </c>
      <c r="C142" s="41">
        <v>4101</v>
      </c>
      <c r="D142" s="42">
        <v>0</v>
      </c>
      <c r="E142" s="56">
        <v>7223805.4545454541</v>
      </c>
      <c r="J142" s="1"/>
      <c r="K142" s="243"/>
      <c r="L142" s="1"/>
      <c r="M142" s="243">
        <v>46111</v>
      </c>
      <c r="N142" s="1" t="str">
        <v>Beban Pokok Penjualan</v>
      </c>
      <c r="O142" s="251">
        <v>5109</v>
      </c>
      <c r="P142" s="1">
        <v>2235095.2380952383</v>
      </c>
      <c r="Q142" s="1">
        <v>0</v>
      </c>
      <c r="R142" s="1"/>
      <c r="S142" s="1"/>
      <c r="AW142" s="32"/>
      <c r="BG142" s="32"/>
      <c r="BI142" s="1"/>
      <c r="BJ142" s="1"/>
      <c r="BL142" s="32"/>
      <c r="BN142" s="1"/>
      <c r="BO142" s="1"/>
      <c r="BP142" s="1"/>
    </row>
    <row r="143" spans="1:68">
      <c r="A143" s="233">
        <v>46006</v>
      </c>
      <c r="B143" s="41" t="s">
        <v>151</v>
      </c>
      <c r="C143" s="41">
        <v>2106</v>
      </c>
      <c r="D143" s="42">
        <v>0</v>
      </c>
      <c r="E143" s="56">
        <v>794618.6</v>
      </c>
      <c r="J143" s="1"/>
      <c r="K143" s="243"/>
      <c r="L143" s="1"/>
      <c r="M143" s="243">
        <v>46111</v>
      </c>
      <c r="N143" s="1" t="str">
        <v xml:space="preserve">   Persediaan Bahan Baku</v>
      </c>
      <c r="O143" s="251">
        <v>1104</v>
      </c>
      <c r="P143" s="1">
        <v>0</v>
      </c>
      <c r="Q143" s="1">
        <v>2235095.2380952383</v>
      </c>
      <c r="R143" s="1"/>
      <c r="S143" s="1"/>
      <c r="AW143" s="32"/>
      <c r="BG143" s="32"/>
      <c r="BI143" s="1"/>
      <c r="BJ143" s="1"/>
      <c r="BL143" s="32"/>
      <c r="BN143" s="1"/>
      <c r="BO143" s="1"/>
      <c r="BP143" s="1"/>
    </row>
    <row r="144" spans="1:68">
      <c r="A144" s="233">
        <v>46006</v>
      </c>
      <c r="B144" s="41" t="s">
        <v>146</v>
      </c>
      <c r="C144" s="41">
        <v>4103</v>
      </c>
      <c r="D144" s="42">
        <v>128424</v>
      </c>
      <c r="E144" s="56">
        <v>0</v>
      </c>
      <c r="J144" s="1"/>
      <c r="K144" s="243"/>
      <c r="L144" s="1"/>
      <c r="M144" s="243">
        <v>46112</v>
      </c>
      <c r="N144" s="1" t="str">
        <v>Kas</v>
      </c>
      <c r="O144" s="251">
        <v>1101</v>
      </c>
      <c r="P144" s="1">
        <v>6786000</v>
      </c>
      <c r="Q144" s="1">
        <v>0</v>
      </c>
      <c r="R144" s="1"/>
      <c r="S144" s="1"/>
      <c r="AW144" s="32"/>
      <c r="BG144" s="32"/>
      <c r="BI144" s="1"/>
      <c r="BJ144" s="1"/>
      <c r="BL144" s="32"/>
      <c r="BN144" s="1"/>
      <c r="BO144" s="1"/>
      <c r="BP144" s="1"/>
    </row>
    <row r="145" spans="1:68">
      <c r="A145" s="233">
        <v>46006</v>
      </c>
      <c r="B145" s="41" t="s">
        <v>425</v>
      </c>
      <c r="C145" s="41">
        <v>1103</v>
      </c>
      <c r="D145" s="42">
        <v>0</v>
      </c>
      <c r="E145" s="56">
        <v>128424</v>
      </c>
      <c r="J145" s="1"/>
      <c r="K145" s="243"/>
      <c r="L145" s="1"/>
      <c r="M145" s="243">
        <v>46112</v>
      </c>
      <c r="N145" s="1" t="str">
        <v xml:space="preserve">   Modal</v>
      </c>
      <c r="O145" s="251">
        <v>3102</v>
      </c>
      <c r="P145" s="1">
        <v>0</v>
      </c>
      <c r="Q145" s="1">
        <v>5220000</v>
      </c>
      <c r="R145" s="1"/>
      <c r="S145" s="1"/>
      <c r="AW145" s="32"/>
      <c r="BG145" s="32"/>
      <c r="BI145" s="1"/>
      <c r="BJ145" s="1"/>
      <c r="BL145" s="32"/>
      <c r="BN145" s="1"/>
      <c r="BO145" s="1"/>
      <c r="BP145" s="1"/>
    </row>
    <row r="146" spans="1:68">
      <c r="A146" s="233">
        <v>46022</v>
      </c>
      <c r="B146" s="41" t="s">
        <v>283</v>
      </c>
      <c r="C146" s="41">
        <v>4102</v>
      </c>
      <c r="D146" s="42">
        <v>1880388.888888889</v>
      </c>
      <c r="E146" s="56">
        <v>0</v>
      </c>
      <c r="J146" s="1"/>
      <c r="K146" s="243"/>
      <c r="L146" s="1"/>
      <c r="M146" s="243">
        <v>46112</v>
      </c>
      <c r="N146" s="1" t="str">
        <v xml:space="preserve">   Premi Saham-Biasa</v>
      </c>
      <c r="O146" s="251">
        <v>3104</v>
      </c>
      <c r="P146" s="1">
        <v>0</v>
      </c>
      <c r="Q146" s="1">
        <v>1566000</v>
      </c>
      <c r="R146" s="1"/>
      <c r="S146" s="1"/>
      <c r="AW146" s="32"/>
      <c r="BG146" s="32"/>
      <c r="BI146" s="1"/>
      <c r="BJ146" s="1"/>
      <c r="BL146" s="32"/>
      <c r="BN146" s="1"/>
      <c r="BO146" s="1"/>
      <c r="BP146" s="1"/>
    </row>
    <row r="147" spans="1:68">
      <c r="A147" s="233">
        <v>46022</v>
      </c>
      <c r="B147" s="41" t="s">
        <v>329</v>
      </c>
      <c r="C147" s="41">
        <v>2106</v>
      </c>
      <c r="D147" s="42">
        <v>206842.77777777778</v>
      </c>
      <c r="E147" s="56">
        <v>0</v>
      </c>
      <c r="J147" s="1"/>
      <c r="K147" s="243"/>
      <c r="L147" s="1"/>
      <c r="M147" s="243">
        <v>46112</v>
      </c>
      <c r="N147" s="1" t="str">
        <v>Laba Ditahan</v>
      </c>
      <c r="O147" s="251">
        <v>3103</v>
      </c>
      <c r="P147" s="1">
        <v>320000</v>
      </c>
      <c r="Q147" s="1">
        <v>0</v>
      </c>
      <c r="R147" s="1"/>
      <c r="S147" s="1"/>
      <c r="AW147" s="32"/>
      <c r="BG147" s="32"/>
      <c r="BI147" s="1"/>
      <c r="BJ147" s="1"/>
      <c r="BL147" s="32"/>
      <c r="BN147" s="1"/>
      <c r="BO147" s="1"/>
      <c r="BP147" s="1"/>
    </row>
    <row r="148" spans="1:68">
      <c r="A148" s="233">
        <v>46022</v>
      </c>
      <c r="B148" s="41" t="s">
        <v>425</v>
      </c>
      <c r="C148" s="41">
        <v>1103</v>
      </c>
      <c r="D148" s="42">
        <v>0</v>
      </c>
      <c r="E148" s="56">
        <v>2087231.6666666667</v>
      </c>
      <c r="J148" s="1"/>
      <c r="K148" s="243"/>
      <c r="L148" s="1"/>
      <c r="M148" s="243">
        <v>46112</v>
      </c>
      <c r="N148" s="1" t="str">
        <v xml:space="preserve">   Utang Dividen</v>
      </c>
      <c r="O148" s="251">
        <v>2110</v>
      </c>
      <c r="P148" s="1">
        <v>0</v>
      </c>
      <c r="Q148" s="1">
        <v>320000</v>
      </c>
      <c r="R148" s="1"/>
      <c r="S148" s="1"/>
      <c r="AW148" s="32"/>
      <c r="BG148" s="32"/>
      <c r="BI148" s="1"/>
      <c r="BJ148" s="1"/>
      <c r="BL148" s="32"/>
      <c r="BN148" s="1"/>
      <c r="BO148" s="1"/>
      <c r="BP148" s="1"/>
    </row>
    <row r="149" spans="1:68">
      <c r="A149" s="233">
        <v>46022</v>
      </c>
      <c r="B149" s="41" t="s">
        <v>497</v>
      </c>
      <c r="C149" s="41">
        <v>5112</v>
      </c>
      <c r="D149" s="42">
        <v>165231.02727272728</v>
      </c>
      <c r="E149" s="56">
        <v>0</v>
      </c>
      <c r="J149" s="1"/>
      <c r="K149" s="243"/>
      <c r="L149" s="1"/>
      <c r="M149" s="243">
        <v>46115</v>
      </c>
      <c r="N149" s="1" t="str">
        <v>Beban Bunga</v>
      </c>
      <c r="O149" s="251">
        <v>5110</v>
      </c>
      <c r="P149" s="1">
        <v>166528.07963231392</v>
      </c>
      <c r="Q149" s="1">
        <v>0</v>
      </c>
      <c r="R149" s="1"/>
      <c r="S149" s="1"/>
      <c r="AW149" s="32"/>
      <c r="BG149" s="32"/>
      <c r="BI149" s="1"/>
      <c r="BJ149" s="1"/>
      <c r="BL149" s="32"/>
      <c r="BN149" s="1"/>
      <c r="BO149" s="1"/>
      <c r="BP149" s="1"/>
    </row>
    <row r="150" spans="1:68">
      <c r="A150" s="233">
        <v>46022</v>
      </c>
      <c r="B150" s="41" t="s">
        <v>428</v>
      </c>
      <c r="C150" s="41">
        <v>2102</v>
      </c>
      <c r="D150" s="42">
        <v>0</v>
      </c>
      <c r="E150" s="56">
        <v>165231.02727272728</v>
      </c>
      <c r="J150" s="1"/>
      <c r="K150" s="243"/>
      <c r="L150" s="1"/>
      <c r="M150" s="243">
        <v>46115</v>
      </c>
      <c r="N150" s="1" t="str">
        <v>Premi Obligasi</v>
      </c>
      <c r="O150" s="251">
        <v>2106</v>
      </c>
      <c r="P150" s="1">
        <v>16804.920367686078</v>
      </c>
      <c r="Q150" s="1">
        <v>0</v>
      </c>
      <c r="R150" s="1"/>
      <c r="S150" s="1"/>
      <c r="AW150" s="32"/>
      <c r="BG150" s="32"/>
      <c r="BI150" s="1"/>
      <c r="BJ150" s="1"/>
      <c r="BL150" s="32"/>
      <c r="BN150" s="1"/>
      <c r="BO150" s="1"/>
      <c r="BP150" s="1"/>
    </row>
    <row r="151" spans="1:68">
      <c r="A151" s="233">
        <v>46022</v>
      </c>
      <c r="B151" s="41" t="s">
        <v>184</v>
      </c>
      <c r="C151" s="41">
        <v>1104</v>
      </c>
      <c r="D151" s="42">
        <v>1709444.4444444445</v>
      </c>
      <c r="E151" s="56">
        <v>0</v>
      </c>
      <c r="J151" s="1"/>
      <c r="K151" s="243"/>
      <c r="L151" s="1"/>
      <c r="M151" s="243">
        <v>46115</v>
      </c>
      <c r="N151" s="1" t="str">
        <v xml:space="preserve">   Kas</v>
      </c>
      <c r="O151" s="251">
        <v>1101</v>
      </c>
      <c r="P151" s="1">
        <v>0</v>
      </c>
      <c r="Q151" s="1">
        <v>183333</v>
      </c>
      <c r="R151" s="1"/>
      <c r="S151" s="1"/>
      <c r="AW151" s="32"/>
      <c r="BG151" s="32"/>
      <c r="BI151" s="1"/>
      <c r="BJ151" s="1"/>
      <c r="BL151" s="32"/>
      <c r="BN151" s="1"/>
      <c r="BO151" s="1"/>
      <c r="BP151" s="1"/>
    </row>
    <row r="152" spans="1:68">
      <c r="A152" s="233">
        <v>46022</v>
      </c>
      <c r="B152" s="41" t="s">
        <v>126</v>
      </c>
      <c r="C152" s="41">
        <v>5109</v>
      </c>
      <c r="D152" s="42">
        <v>0</v>
      </c>
      <c r="E152" s="56">
        <v>1709444.4444444445</v>
      </c>
      <c r="J152" s="1"/>
      <c r="K152" s="243"/>
      <c r="L152" s="1"/>
      <c r="M152" s="243">
        <v>46115</v>
      </c>
      <c r="N152" s="1" t="str">
        <v>Kas</v>
      </c>
      <c r="O152" s="251">
        <v>1101</v>
      </c>
      <c r="P152" s="1">
        <v>125000</v>
      </c>
      <c r="Q152" s="1">
        <v>0</v>
      </c>
      <c r="R152" s="1"/>
      <c r="S152" s="1"/>
      <c r="AW152" s="32"/>
      <c r="BG152" s="32"/>
      <c r="BI152" s="1"/>
      <c r="BJ152" s="1"/>
      <c r="BL152" s="32"/>
      <c r="BN152" s="1"/>
      <c r="BO152" s="1"/>
      <c r="BP152" s="1"/>
    </row>
    <row r="153" spans="1:68">
      <c r="A153" s="233">
        <v>46022</v>
      </c>
      <c r="B153" s="41" t="s">
        <v>125</v>
      </c>
      <c r="C153" s="41">
        <v>5109</v>
      </c>
      <c r="D153" s="42">
        <v>4379390.4761904767</v>
      </c>
      <c r="E153" s="56">
        <v>0</v>
      </c>
      <c r="J153" s="1"/>
      <c r="K153" s="243"/>
      <c r="L153" s="1"/>
      <c r="M153" s="243">
        <v>46115</v>
      </c>
      <c r="N153" s="1" t="str">
        <v>Investasi Obligasi</v>
      </c>
      <c r="O153" s="251">
        <v>1116</v>
      </c>
      <c r="P153" s="1">
        <v>15069.351814695314</v>
      </c>
      <c r="Q153" s="1">
        <v>0</v>
      </c>
      <c r="R153" s="1"/>
      <c r="S153" s="1"/>
      <c r="AW153" s="32"/>
      <c r="BG153" s="32"/>
      <c r="BI153" s="1"/>
      <c r="BJ153" s="1"/>
      <c r="BL153" s="32"/>
      <c r="BN153" s="1"/>
      <c r="BO153" s="1"/>
      <c r="BP153" s="1"/>
    </row>
    <row r="154" spans="1:68">
      <c r="A154" s="233">
        <v>46022</v>
      </c>
      <c r="B154" s="41" t="s">
        <v>424</v>
      </c>
      <c r="C154" s="41">
        <v>1104</v>
      </c>
      <c r="D154" s="42">
        <v>0</v>
      </c>
      <c r="E154" s="56">
        <v>4379390.4761904767</v>
      </c>
      <c r="J154" s="1"/>
      <c r="K154" s="243"/>
      <c r="L154" s="1"/>
      <c r="M154" s="243">
        <v>46115</v>
      </c>
      <c r="N154" s="1" t="str">
        <v xml:space="preserve">   Pendapatan Bunga</v>
      </c>
      <c r="O154" s="251">
        <v>4105</v>
      </c>
      <c r="P154" s="1">
        <v>0</v>
      </c>
      <c r="Q154" s="1">
        <v>140069.35181469531</v>
      </c>
      <c r="R154" s="1"/>
      <c r="S154" s="1"/>
      <c r="AW154" s="32"/>
      <c r="BG154" s="32"/>
      <c r="BI154" s="1"/>
      <c r="BJ154" s="1"/>
      <c r="BL154" s="32"/>
      <c r="BN154" s="1"/>
      <c r="BO154" s="1"/>
      <c r="BP154" s="1"/>
    </row>
    <row r="155" spans="1:68">
      <c r="A155" s="233">
        <v>46022</v>
      </c>
      <c r="B155" s="41" t="s">
        <v>418</v>
      </c>
      <c r="C155" s="41">
        <v>5105</v>
      </c>
      <c r="D155" s="42">
        <v>300000</v>
      </c>
      <c r="E155" s="56">
        <v>0</v>
      </c>
      <c r="J155" s="1"/>
      <c r="K155" s="243"/>
      <c r="L155" s="1"/>
      <c r="M155" s="243">
        <v>46115</v>
      </c>
      <c r="N155" s="1" t="str">
        <v>Beban Bunga</v>
      </c>
      <c r="O155" s="251">
        <v>5110</v>
      </c>
      <c r="P155" s="1">
        <v>158011.38062234022</v>
      </c>
      <c r="Q155" s="1">
        <v>0</v>
      </c>
      <c r="R155" s="1"/>
      <c r="S155" s="1"/>
      <c r="AW155" s="32"/>
      <c r="BG155" s="32"/>
      <c r="BI155" s="1"/>
      <c r="BJ155" s="1"/>
      <c r="BL155" s="32"/>
      <c r="BN155" s="1"/>
      <c r="BO155" s="1"/>
      <c r="BP155" s="1"/>
    </row>
    <row r="156" spans="1:68">
      <c r="A156" s="233">
        <v>46022</v>
      </c>
      <c r="B156" s="41" t="s">
        <v>450</v>
      </c>
      <c r="C156" s="41">
        <v>1110</v>
      </c>
      <c r="D156" s="42">
        <v>0</v>
      </c>
      <c r="E156" s="56">
        <v>300000</v>
      </c>
      <c r="J156" s="1"/>
      <c r="K156" s="243"/>
      <c r="L156" s="1"/>
      <c r="M156" s="243">
        <v>46115</v>
      </c>
      <c r="N156" s="1" t="str">
        <v>Wesel Bayar</v>
      </c>
      <c r="O156" s="251">
        <v>2108</v>
      </c>
      <c r="P156" s="1">
        <v>8060.1684419157509</v>
      </c>
      <c r="Q156" s="1">
        <v>0</v>
      </c>
      <c r="R156" s="1"/>
      <c r="S156" s="1"/>
      <c r="AW156" s="32"/>
      <c r="BG156" s="32"/>
      <c r="BI156" s="1"/>
      <c r="BJ156" s="1"/>
      <c r="BL156" s="32"/>
      <c r="BN156" s="1"/>
      <c r="BO156" s="1"/>
      <c r="BP156" s="1"/>
    </row>
    <row r="157" spans="1:68">
      <c r="A157" s="233">
        <v>46022</v>
      </c>
      <c r="B157" s="41" t="s">
        <v>418</v>
      </c>
      <c r="C157" s="41">
        <v>5105</v>
      </c>
      <c r="D157" s="42">
        <v>100000</v>
      </c>
      <c r="E157" s="56">
        <v>0</v>
      </c>
      <c r="J157" s="1"/>
      <c r="K157" s="243"/>
      <c r="L157" s="1"/>
      <c r="M157" s="243">
        <v>46115</v>
      </c>
      <c r="N157" s="1" t="str">
        <v xml:space="preserve">   Utang Bank</v>
      </c>
      <c r="O157" s="251">
        <v>2104</v>
      </c>
      <c r="P157" s="1">
        <v>0</v>
      </c>
      <c r="Q157" s="1">
        <v>166071.54906425596</v>
      </c>
      <c r="R157" s="1"/>
      <c r="S157" s="1"/>
      <c r="AW157" s="32"/>
      <c r="BG157" s="32"/>
      <c r="BI157" s="1"/>
      <c r="BJ157" s="1"/>
      <c r="BL157" s="32"/>
      <c r="BN157" s="1"/>
      <c r="BO157" s="1"/>
      <c r="BP157" s="1"/>
    </row>
    <row r="158" spans="1:68">
      <c r="A158" s="233">
        <v>46022</v>
      </c>
      <c r="B158" s="41" t="s">
        <v>453</v>
      </c>
      <c r="C158" s="41">
        <v>1108</v>
      </c>
      <c r="D158" s="42">
        <v>0</v>
      </c>
      <c r="E158" s="56">
        <v>100000</v>
      </c>
      <c r="J158" s="1"/>
      <c r="K158" s="243"/>
      <c r="L158" s="1"/>
      <c r="M158" s="243">
        <v>46117</v>
      </c>
      <c r="N158" s="1" t="str">
        <v>Persediaan Bahan Baku</v>
      </c>
      <c r="O158" s="251">
        <v>1104</v>
      </c>
      <c r="P158" s="1">
        <v>6800000</v>
      </c>
      <c r="Q158" s="1">
        <v>0</v>
      </c>
      <c r="R158" s="1"/>
      <c r="S158" s="1"/>
      <c r="AW158" s="32"/>
      <c r="BG158" s="32"/>
      <c r="BI158" s="1"/>
      <c r="BJ158" s="1"/>
      <c r="BL158" s="32"/>
      <c r="BN158" s="1"/>
      <c r="BO158" s="1"/>
      <c r="BP158" s="1"/>
    </row>
    <row r="159" spans="1:68">
      <c r="A159" s="233">
        <v>46022</v>
      </c>
      <c r="B159" s="41" t="s">
        <v>332</v>
      </c>
      <c r="C159" s="41">
        <v>5999</v>
      </c>
      <c r="D159" s="42">
        <v>21391178.484729052</v>
      </c>
      <c r="E159" s="56">
        <v>0</v>
      </c>
      <c r="J159" s="1"/>
      <c r="K159" s="243"/>
      <c r="L159" s="1"/>
      <c r="M159" s="243">
        <v>46117</v>
      </c>
      <c r="N159" s="1" t="str">
        <v>PPN Masukan</v>
      </c>
      <c r="O159" s="251">
        <v>1114</v>
      </c>
      <c r="P159" s="1">
        <v>748000</v>
      </c>
      <c r="Q159" s="1">
        <v>0</v>
      </c>
      <c r="R159" s="1"/>
      <c r="S159" s="1"/>
      <c r="AW159" s="32"/>
      <c r="BG159" s="32"/>
      <c r="BI159" s="1"/>
      <c r="BJ159" s="1"/>
      <c r="BL159" s="32"/>
      <c r="BN159" s="1"/>
      <c r="BO159" s="1"/>
      <c r="BP159" s="1"/>
    </row>
    <row r="160" spans="1:68">
      <c r="A160" s="233">
        <v>46022</v>
      </c>
      <c r="B160" s="41" t="s">
        <v>67</v>
      </c>
      <c r="C160" s="41">
        <v>5102</v>
      </c>
      <c r="D160" s="42">
        <v>0</v>
      </c>
      <c r="E160" s="56">
        <v>4200000</v>
      </c>
      <c r="J160" s="1"/>
      <c r="K160" s="243"/>
      <c r="L160" s="1"/>
      <c r="M160" s="243">
        <v>46117</v>
      </c>
      <c r="N160" s="1" t="str">
        <v xml:space="preserve">   Utang Usaha</v>
      </c>
      <c r="O160" s="251">
        <v>2101</v>
      </c>
      <c r="P160" s="1">
        <v>0</v>
      </c>
      <c r="Q160" s="1">
        <v>7548000</v>
      </c>
      <c r="R160" s="1"/>
      <c r="S160" s="1"/>
      <c r="AW160" s="32"/>
      <c r="BG160" s="32"/>
      <c r="BI160" s="1"/>
      <c r="BJ160" s="1"/>
      <c r="BL160" s="32"/>
      <c r="BN160" s="1"/>
      <c r="BO160" s="1"/>
      <c r="BP160" s="1"/>
    </row>
    <row r="161" spans="1:68">
      <c r="A161" s="233">
        <v>46022</v>
      </c>
      <c r="B161" s="41" t="s">
        <v>422</v>
      </c>
      <c r="C161" s="41">
        <v>5104</v>
      </c>
      <c r="D161" s="42">
        <v>0</v>
      </c>
      <c r="E161" s="56">
        <v>770000</v>
      </c>
      <c r="J161" s="1"/>
      <c r="K161" s="243"/>
      <c r="L161" s="1"/>
      <c r="M161" s="243">
        <v>46123</v>
      </c>
      <c r="N161" s="1" t="str">
        <v>Beban Tenaga Kerja Langsung</v>
      </c>
      <c r="O161" s="251">
        <v>5102</v>
      </c>
      <c r="P161" s="1">
        <v>600000</v>
      </c>
      <c r="Q161" s="1">
        <v>0</v>
      </c>
      <c r="R161" s="1"/>
      <c r="S161" s="1"/>
      <c r="AW161" s="32"/>
      <c r="BG161" s="32"/>
      <c r="BI161" s="1"/>
      <c r="BJ161" s="1"/>
      <c r="BL161" s="32"/>
      <c r="BN161" s="1"/>
      <c r="BO161" s="1"/>
      <c r="BP161" s="1"/>
    </row>
    <row r="162" spans="1:68">
      <c r="A162" s="233">
        <v>46022</v>
      </c>
      <c r="B162" s="41" t="s">
        <v>126</v>
      </c>
      <c r="C162" s="41">
        <v>5109</v>
      </c>
      <c r="D162" s="42">
        <v>0</v>
      </c>
      <c r="E162" s="56">
        <v>13565595.568567436</v>
      </c>
      <c r="K162" s="32"/>
      <c r="M162" s="243">
        <v>46123</v>
      </c>
      <c r="N162" s="1" t="str">
        <v xml:space="preserve">   Utang Pajak Gaji</v>
      </c>
      <c r="O162" s="251">
        <v>2102</v>
      </c>
      <c r="P162" s="1">
        <v>0</v>
      </c>
      <c r="Q162" s="1">
        <v>60000</v>
      </c>
      <c r="AW162" s="32"/>
      <c r="BG162" s="32"/>
      <c r="BI162" s="1"/>
      <c r="BJ162" s="1"/>
      <c r="BL162" s="32"/>
      <c r="BN162" s="1"/>
      <c r="BO162" s="1"/>
      <c r="BP162" s="1"/>
    </row>
    <row r="163" spans="1:68">
      <c r="A163" s="233">
        <v>46022</v>
      </c>
      <c r="B163" s="41" t="s">
        <v>147</v>
      </c>
      <c r="C163" s="41">
        <v>4103</v>
      </c>
      <c r="D163" s="42">
        <v>0</v>
      </c>
      <c r="E163" s="56">
        <v>409963</v>
      </c>
      <c r="K163" s="32"/>
      <c r="M163" s="243">
        <v>46123</v>
      </c>
      <c r="N163" s="1" t="str">
        <v xml:space="preserve">   Utang Gaji</v>
      </c>
      <c r="O163" s="251">
        <v>2103</v>
      </c>
      <c r="P163" s="1">
        <v>0</v>
      </c>
      <c r="Q163" s="1">
        <v>540000</v>
      </c>
      <c r="AW163" s="32"/>
      <c r="BG163" s="32"/>
      <c r="BI163" s="1"/>
      <c r="BJ163" s="1"/>
      <c r="BL163" s="32"/>
      <c r="BN163" s="1"/>
      <c r="BO163" s="1"/>
      <c r="BP163" s="1"/>
    </row>
    <row r="164" spans="1:68">
      <c r="A164" s="233">
        <v>46022</v>
      </c>
      <c r="B164" s="41" t="s">
        <v>284</v>
      </c>
      <c r="C164" s="41">
        <v>4102</v>
      </c>
      <c r="D164" s="42">
        <v>0</v>
      </c>
      <c r="E164" s="56">
        <v>1880388.888888889</v>
      </c>
      <c r="K164" s="32"/>
      <c r="M164" s="243">
        <v>46128</v>
      </c>
      <c r="N164" s="1" t="str">
        <v>Utang Gaji</v>
      </c>
      <c r="O164" s="251">
        <v>2103</v>
      </c>
      <c r="P164" s="1">
        <v>540000</v>
      </c>
      <c r="Q164" s="1">
        <v>0</v>
      </c>
      <c r="AW164" s="32"/>
      <c r="BG164" s="32"/>
      <c r="BI164" s="1"/>
      <c r="BJ164" s="1"/>
      <c r="BL164" s="32"/>
      <c r="BN164" s="1"/>
      <c r="BO164" s="1"/>
      <c r="BP164" s="1"/>
    </row>
    <row r="165" spans="1:68">
      <c r="A165" s="233">
        <v>46022</v>
      </c>
      <c r="B165" s="41" t="s">
        <v>433</v>
      </c>
      <c r="C165" s="41">
        <v>5105</v>
      </c>
      <c r="D165" s="42">
        <v>0</v>
      </c>
      <c r="E165" s="56">
        <v>400000</v>
      </c>
      <c r="K165" s="32"/>
      <c r="M165" s="243">
        <v>46128</v>
      </c>
      <c r="N165" s="1" t="str">
        <v xml:space="preserve">   Kas</v>
      </c>
      <c r="O165" s="251">
        <v>1101</v>
      </c>
      <c r="P165" s="1">
        <v>0</v>
      </c>
      <c r="Q165" s="1">
        <v>540000</v>
      </c>
      <c r="AW165" s="32"/>
      <c r="BG165" s="32"/>
      <c r="BI165" s="1"/>
      <c r="BJ165" s="1"/>
      <c r="BL165" s="32"/>
      <c r="BN165" s="1"/>
      <c r="BO165" s="1"/>
      <c r="BP165" s="1"/>
    </row>
    <row r="166" spans="1:68">
      <c r="A166" s="233">
        <v>46022</v>
      </c>
      <c r="B166" s="41" t="s">
        <v>498</v>
      </c>
      <c r="C166" s="41">
        <v>5112</v>
      </c>
      <c r="D166" s="42">
        <v>0</v>
      </c>
      <c r="E166" s="56">
        <v>165231.02727272728</v>
      </c>
      <c r="K166" s="32"/>
      <c r="M166" s="243">
        <v>46128</v>
      </c>
      <c r="N166" s="1" t="str">
        <v>Beban Utilitas</v>
      </c>
      <c r="O166" s="251">
        <v>5104</v>
      </c>
      <c r="P166" s="1">
        <v>110000</v>
      </c>
      <c r="Q166" s="1">
        <v>0</v>
      </c>
      <c r="AW166" s="32"/>
      <c r="BG166" s="32"/>
      <c r="BI166" s="1"/>
      <c r="BJ166" s="1"/>
      <c r="BL166" s="32"/>
      <c r="BN166" s="1"/>
      <c r="BO166" s="1"/>
      <c r="BP166" s="1"/>
    </row>
    <row r="167" spans="1:68">
      <c r="A167" s="233">
        <v>46022</v>
      </c>
      <c r="B167" s="41" t="s">
        <v>211</v>
      </c>
      <c r="C167" s="41">
        <v>4101</v>
      </c>
      <c r="D167" s="42">
        <v>33046205.454545453</v>
      </c>
      <c r="E167" s="56">
        <v>0</v>
      </c>
      <c r="K167" s="32"/>
      <c r="M167" s="243">
        <v>46128</v>
      </c>
      <c r="N167" s="1" t="str">
        <v xml:space="preserve">   Kas</v>
      </c>
      <c r="O167" s="251">
        <v>1101</v>
      </c>
      <c r="P167" s="1">
        <v>0</v>
      </c>
      <c r="Q167" s="1">
        <v>110000</v>
      </c>
      <c r="AW167" s="32"/>
      <c r="BG167" s="32"/>
      <c r="BI167" s="1"/>
      <c r="BJ167" s="1"/>
      <c r="BL167" s="32"/>
      <c r="BN167" s="1"/>
      <c r="BO167" s="1"/>
      <c r="BP167" s="1"/>
    </row>
    <row r="168" spans="1:68">
      <c r="A168" s="233">
        <v>46022</v>
      </c>
      <c r="B168" s="41" t="s">
        <v>333</v>
      </c>
      <c r="C168" s="41">
        <v>5999</v>
      </c>
      <c r="D168" s="42">
        <v>0</v>
      </c>
      <c r="E168" s="56">
        <v>33046205.454545453</v>
      </c>
      <c r="K168" s="32"/>
      <c r="M168" s="243">
        <v>46133</v>
      </c>
      <c r="N168" s="1" t="str">
        <v>Piutang Usaha</v>
      </c>
      <c r="O168" s="251">
        <v>1103</v>
      </c>
      <c r="P168" s="1">
        <v>11303352</v>
      </c>
      <c r="Q168" s="1">
        <v>0</v>
      </c>
      <c r="AW168" s="32"/>
      <c r="BG168" s="32"/>
      <c r="BI168" s="1"/>
      <c r="BJ168" s="1"/>
      <c r="BL168" s="32"/>
      <c r="BN168" s="1"/>
      <c r="BO168" s="1"/>
      <c r="BP168" s="1"/>
    </row>
    <row r="169" spans="1:68">
      <c r="A169" s="233">
        <v>46022</v>
      </c>
      <c r="B169" s="41" t="s">
        <v>332</v>
      </c>
      <c r="C169" s="41">
        <v>5999</v>
      </c>
      <c r="D169" s="42">
        <v>11655026.969816402</v>
      </c>
      <c r="E169" s="56">
        <v>0</v>
      </c>
      <c r="K169" s="32"/>
      <c r="M169" s="243">
        <v>46133</v>
      </c>
      <c r="N169" s="1" t="str">
        <v xml:space="preserve">   Penjualan Produk Garment</v>
      </c>
      <c r="O169" s="251">
        <v>4101</v>
      </c>
      <c r="P169" s="1">
        <v>0</v>
      </c>
      <c r="Q169" s="1">
        <v>10183200</v>
      </c>
      <c r="AW169" s="32"/>
      <c r="BG169" s="32"/>
      <c r="BI169" s="1"/>
      <c r="BJ169" s="1"/>
      <c r="BL169" s="32"/>
      <c r="BN169" s="1"/>
      <c r="BO169" s="1"/>
      <c r="BP169" s="1"/>
    </row>
    <row r="170" spans="1:68">
      <c r="A170" s="234">
        <v>46022</v>
      </c>
      <c r="B170" s="62" t="s">
        <v>430</v>
      </c>
      <c r="C170" s="62">
        <v>3103</v>
      </c>
      <c r="D170" s="235">
        <v>0</v>
      </c>
      <c r="E170" s="236">
        <v>11655026.969816402</v>
      </c>
      <c r="K170" s="32"/>
      <c r="M170" s="243">
        <v>46133</v>
      </c>
      <c r="N170" s="1" t="str">
        <v xml:space="preserve">   PPN Keluaran</v>
      </c>
      <c r="O170" s="251">
        <v>2106</v>
      </c>
      <c r="P170" s="1">
        <v>0</v>
      </c>
      <c r="Q170" s="1">
        <v>1120152</v>
      </c>
      <c r="AW170" s="32"/>
      <c r="BG170" s="32"/>
      <c r="BI170" s="1"/>
      <c r="BJ170" s="1"/>
      <c r="BL170" s="32"/>
      <c r="BN170" s="1"/>
      <c r="BO170" s="1"/>
      <c r="BP170" s="1"/>
    </row>
    <row r="171" spans="1:68">
      <c r="A171" s="32"/>
      <c r="D171" s="249">
        <f>SUBTOTAL(109,Table9[Debit])</f>
        <v>170437378.11503208</v>
      </c>
      <c r="E171" s="249">
        <f>SUBTOTAL(109,Table9[Kredit])</f>
        <v>170437378.11503208</v>
      </c>
      <c r="K171" s="32"/>
      <c r="M171" s="243">
        <v>46133</v>
      </c>
      <c r="N171" s="1" t="str">
        <v>Diskon Penjualan</v>
      </c>
      <c r="O171" s="251">
        <v>4103</v>
      </c>
      <c r="P171" s="1">
        <v>143352</v>
      </c>
      <c r="Q171" s="1">
        <v>0</v>
      </c>
      <c r="AW171" s="32"/>
      <c r="BG171" s="32"/>
      <c r="BI171" s="1"/>
      <c r="BJ171" s="1"/>
      <c r="BL171" s="32"/>
      <c r="BN171" s="1"/>
      <c r="BO171" s="1"/>
      <c r="BP171" s="1"/>
    </row>
    <row r="172" spans="1:68">
      <c r="A172" s="32"/>
      <c r="D172" s="248" t="str">
        <f>IF(E171&gt;D171,E171-D171,"")</f>
        <v/>
      </c>
      <c r="E172" s="248" t="str">
        <f>IF(D171&gt;E171,D171-E171,"")</f>
        <v/>
      </c>
      <c r="K172" s="32"/>
      <c r="M172" s="243">
        <v>46133</v>
      </c>
      <c r="N172" s="1" t="str">
        <v xml:space="preserve">   Piutang Usaha</v>
      </c>
      <c r="O172" s="251">
        <v>1103</v>
      </c>
      <c r="P172" s="1">
        <v>0</v>
      </c>
      <c r="Q172" s="1">
        <v>143352</v>
      </c>
      <c r="AW172" s="32"/>
      <c r="BG172" s="32"/>
      <c r="BI172" s="1"/>
      <c r="BJ172" s="1"/>
      <c r="BL172" s="32"/>
      <c r="BN172" s="1"/>
      <c r="BO172" s="1"/>
      <c r="BP172" s="1"/>
    </row>
    <row r="173" spans="1:68">
      <c r="A173" s="32"/>
      <c r="D173" s="1"/>
      <c r="E173" s="1"/>
      <c r="K173" s="32"/>
      <c r="M173" s="243">
        <v>46133</v>
      </c>
      <c r="N173" s="1" t="str">
        <v>Beban Pokok Penjualan</v>
      </c>
      <c r="O173" s="251">
        <v>5109</v>
      </c>
      <c r="P173" s="1">
        <v>5439999.9999999991</v>
      </c>
      <c r="Q173" s="1">
        <v>0</v>
      </c>
      <c r="AW173" s="32"/>
      <c r="BG173" s="32"/>
      <c r="BI173" s="1"/>
      <c r="BJ173" s="1"/>
      <c r="BL173" s="32"/>
      <c r="BN173" s="1"/>
      <c r="BO173" s="1"/>
      <c r="BP173" s="1"/>
    </row>
    <row r="174" spans="1:68">
      <c r="A174" s="32"/>
      <c r="D174" s="1"/>
      <c r="E174" s="1"/>
      <c r="K174" s="32"/>
      <c r="M174" s="243">
        <v>46133</v>
      </c>
      <c r="N174" s="1" t="str">
        <v xml:space="preserve">   Persediaan Bahan Baku</v>
      </c>
      <c r="O174" s="251">
        <v>1104</v>
      </c>
      <c r="P174" s="1">
        <v>0</v>
      </c>
      <c r="Q174" s="1">
        <v>5439999.9999999991</v>
      </c>
      <c r="AW174" s="32"/>
      <c r="BG174" s="32"/>
      <c r="BI174" s="1"/>
      <c r="BJ174" s="1"/>
      <c r="BL174" s="32"/>
      <c r="BN174" s="1"/>
      <c r="BO174" s="1"/>
      <c r="BP174" s="1"/>
    </row>
    <row r="175" spans="1:68">
      <c r="A175" s="32"/>
      <c r="D175" s="1"/>
      <c r="E175" s="1"/>
      <c r="K175" s="32"/>
      <c r="M175" s="243">
        <v>46133</v>
      </c>
      <c r="N175" s="1" t="str">
        <v>Beban Pemasaran &amp; Iklan</v>
      </c>
      <c r="O175" s="251">
        <v>5106</v>
      </c>
      <c r="P175" s="1">
        <v>740</v>
      </c>
      <c r="Q175" s="1">
        <v>0</v>
      </c>
      <c r="AW175" s="32"/>
      <c r="BG175" s="32"/>
      <c r="BI175" s="1"/>
      <c r="BJ175" s="1"/>
      <c r="BL175" s="32"/>
      <c r="BN175" s="1"/>
      <c r="BO175" s="1"/>
      <c r="BP175" s="1"/>
    </row>
    <row r="176" spans="1:68">
      <c r="A176" s="32"/>
      <c r="D176" s="1"/>
      <c r="E176" s="1"/>
      <c r="K176" s="32"/>
      <c r="M176" s="243">
        <v>46133</v>
      </c>
      <c r="N176" s="1" t="str">
        <v xml:space="preserve">   Utang Kontinjensi Pemasaran</v>
      </c>
      <c r="O176" s="251">
        <v>2109</v>
      </c>
      <c r="P176" s="1">
        <v>0</v>
      </c>
      <c r="Q176" s="1">
        <v>740</v>
      </c>
      <c r="AW176" s="32"/>
      <c r="BG176" s="32"/>
      <c r="BI176" s="1"/>
      <c r="BJ176" s="1"/>
      <c r="BL176" s="32"/>
      <c r="BN176" s="1"/>
      <c r="BO176" s="1"/>
      <c r="BP176" s="1"/>
    </row>
    <row r="177" spans="1:68">
      <c r="A177" s="32"/>
      <c r="D177" s="1"/>
      <c r="E177" s="1"/>
      <c r="K177" s="32"/>
      <c r="M177" s="243">
        <v>46133</v>
      </c>
      <c r="N177" s="1" t="str">
        <v>Beban Pemasaran &amp; Iklan</v>
      </c>
      <c r="O177" s="251">
        <v>5106</v>
      </c>
      <c r="P177" s="1">
        <v>9042681.5999999996</v>
      </c>
      <c r="Q177" s="1">
        <v>0</v>
      </c>
      <c r="AW177" s="32"/>
      <c r="BG177" s="32"/>
      <c r="BI177" s="1"/>
      <c r="BJ177" s="1"/>
      <c r="BL177" s="32"/>
      <c r="BN177" s="1"/>
      <c r="BO177" s="1"/>
      <c r="BP177" s="1"/>
    </row>
    <row r="178" spans="1:68">
      <c r="K178" s="32"/>
      <c r="M178" s="243">
        <v>46133</v>
      </c>
      <c r="N178" s="1" t="str">
        <v xml:space="preserve">   Utang Kontinjensi Pemasaran</v>
      </c>
      <c r="O178" s="251">
        <v>2109</v>
      </c>
      <c r="P178" s="1">
        <v>0</v>
      </c>
      <c r="Q178" s="1">
        <v>9042681.5999999996</v>
      </c>
      <c r="AW178" s="32"/>
      <c r="BG178" s="32"/>
      <c r="BI178" s="1"/>
      <c r="BJ178" s="1"/>
      <c r="BL178" s="32"/>
      <c r="BN178" s="1"/>
      <c r="BO178" s="1"/>
      <c r="BP178" s="1"/>
    </row>
    <row r="179" spans="1:68">
      <c r="A179" s="32"/>
      <c r="D179" s="1"/>
      <c r="E179" s="1"/>
      <c r="K179" s="32"/>
      <c r="M179" s="243">
        <v>46137</v>
      </c>
      <c r="N179" s="1" t="str">
        <v>Utang Kontinjensi Pemasaran</v>
      </c>
      <c r="O179" s="251">
        <v>2109</v>
      </c>
      <c r="P179" s="1">
        <v>296</v>
      </c>
      <c r="Q179" s="1">
        <v>0</v>
      </c>
      <c r="AW179" s="32"/>
      <c r="BG179" s="32"/>
      <c r="BI179" s="1"/>
      <c r="BJ179" s="1"/>
      <c r="BL179" s="32"/>
      <c r="BN179" s="1"/>
      <c r="BO179" s="1"/>
      <c r="BP179" s="1"/>
    </row>
    <row r="180" spans="1:68">
      <c r="K180" s="32"/>
      <c r="M180" s="243">
        <v>46137</v>
      </c>
      <c r="N180" s="1" t="str">
        <v xml:space="preserve">   Pendapatan Lain-lain</v>
      </c>
      <c r="O180" s="251">
        <v>4103</v>
      </c>
      <c r="P180" s="1">
        <v>0</v>
      </c>
      <c r="Q180" s="1">
        <v>296</v>
      </c>
      <c r="AW180" s="32"/>
      <c r="BG180" s="32"/>
      <c r="BI180" s="1"/>
      <c r="BJ180" s="1"/>
      <c r="BL180" s="32"/>
      <c r="BN180" s="1"/>
      <c r="BO180" s="1"/>
      <c r="BP180" s="1"/>
    </row>
    <row r="181" spans="1:68">
      <c r="A181" s="32"/>
      <c r="D181" s="1"/>
      <c r="E181" s="1"/>
      <c r="K181" s="32"/>
      <c r="M181" s="243">
        <v>46137</v>
      </c>
      <c r="N181" s="1" t="str">
        <v>Retur Penjualan</v>
      </c>
      <c r="O181" s="251">
        <v>4102</v>
      </c>
      <c r="P181" s="1">
        <v>6233700</v>
      </c>
      <c r="Q181" s="1">
        <v>0</v>
      </c>
      <c r="AW181" s="32"/>
      <c r="BG181" s="32"/>
      <c r="BI181" s="1"/>
      <c r="BJ181" s="1"/>
      <c r="BL181" s="32"/>
      <c r="BN181" s="1"/>
      <c r="BO181" s="1"/>
      <c r="BP181" s="1"/>
    </row>
    <row r="182" spans="1:68">
      <c r="A182" s="32"/>
      <c r="D182" s="1"/>
      <c r="E182" s="1"/>
      <c r="K182" s="32"/>
      <c r="M182" s="243">
        <v>46137</v>
      </c>
      <c r="N182" s="1" t="str">
        <v>PPN Keluaran</v>
      </c>
      <c r="O182" s="251">
        <v>2106</v>
      </c>
      <c r="P182" s="1">
        <v>685707</v>
      </c>
      <c r="Q182" s="1">
        <v>0</v>
      </c>
      <c r="AW182" s="32"/>
      <c r="BG182" s="32"/>
      <c r="BI182" s="1"/>
      <c r="BJ182" s="1"/>
      <c r="BL182" s="32"/>
      <c r="BN182" s="1"/>
      <c r="BO182" s="1"/>
      <c r="BP182" s="1"/>
    </row>
    <row r="183" spans="1:68">
      <c r="A183" s="32"/>
      <c r="D183" s="1"/>
      <c r="E183" s="1"/>
      <c r="K183" s="32"/>
      <c r="M183" s="243">
        <v>46137</v>
      </c>
      <c r="N183" s="1" t="str">
        <v xml:space="preserve">   Piutang Usaha</v>
      </c>
      <c r="O183" s="251">
        <v>1103</v>
      </c>
      <c r="P183" s="1">
        <v>0</v>
      </c>
      <c r="Q183" s="1">
        <v>6840000</v>
      </c>
      <c r="AW183" s="32"/>
      <c r="BG183" s="32"/>
      <c r="BI183" s="1"/>
      <c r="BJ183" s="1"/>
      <c r="BL183" s="32"/>
      <c r="BN183" s="1"/>
      <c r="BO183" s="1"/>
      <c r="BP183" s="1"/>
    </row>
    <row r="184" spans="1:68">
      <c r="A184" s="32"/>
      <c r="D184" s="1"/>
      <c r="E184" s="1"/>
      <c r="K184" s="32"/>
      <c r="M184" s="243">
        <v>46137</v>
      </c>
      <c r="N184" s="1" t="str">
        <v xml:space="preserve">   Diskon Penjualan</v>
      </c>
      <c r="O184" s="251">
        <v>4103</v>
      </c>
      <c r="P184" s="1">
        <v>0</v>
      </c>
      <c r="Q184" s="1">
        <v>79407</v>
      </c>
      <c r="AW184" s="32"/>
      <c r="BG184" s="32"/>
      <c r="BI184" s="1"/>
      <c r="BJ184" s="1"/>
      <c r="BL184" s="32"/>
      <c r="BN184" s="1"/>
      <c r="BO184" s="1"/>
      <c r="BP184" s="1"/>
    </row>
    <row r="185" spans="1:68">
      <c r="A185" s="32"/>
      <c r="D185" s="1"/>
      <c r="E185" s="1"/>
      <c r="K185" s="32"/>
      <c r="M185" s="243">
        <v>46137</v>
      </c>
      <c r="N185" s="1" t="str">
        <v>Persediaan Bahan Baku</v>
      </c>
      <c r="O185" s="251">
        <v>1104</v>
      </c>
      <c r="P185" s="1">
        <v>2086015.0375939845</v>
      </c>
      <c r="Q185" s="1">
        <v>0</v>
      </c>
      <c r="AW185" s="32"/>
      <c r="BG185" s="32"/>
      <c r="BI185" s="1"/>
      <c r="BJ185" s="1"/>
      <c r="BL185" s="32"/>
      <c r="BN185" s="1"/>
      <c r="BO185" s="1"/>
      <c r="BP185" s="1"/>
    </row>
    <row r="186" spans="1:68">
      <c r="A186" s="32"/>
      <c r="D186" s="1"/>
      <c r="E186" s="1"/>
      <c r="K186" s="32"/>
      <c r="M186" s="243">
        <v>46137</v>
      </c>
      <c r="N186" s="1" t="str">
        <v xml:space="preserve">   Beban Pokok Penjualan</v>
      </c>
      <c r="O186" s="251">
        <v>5109</v>
      </c>
      <c r="P186" s="1">
        <v>0</v>
      </c>
      <c r="Q186" s="1">
        <v>2086015.0375939845</v>
      </c>
      <c r="AW186" s="32"/>
      <c r="BG186" s="32"/>
      <c r="BI186" s="1"/>
      <c r="BJ186" s="1"/>
      <c r="BL186" s="32"/>
      <c r="BN186" s="1"/>
      <c r="BO186" s="1"/>
      <c r="BP186" s="1"/>
    </row>
    <row r="187" spans="1:68">
      <c r="A187" s="32"/>
      <c r="D187" s="1"/>
      <c r="E187" s="1"/>
      <c r="K187" s="32"/>
      <c r="M187" s="243">
        <v>46138</v>
      </c>
      <c r="N187" s="1" t="str">
        <v>Utang Kontinjensi Pemasaran</v>
      </c>
      <c r="O187" s="251">
        <v>2109</v>
      </c>
      <c r="P187" s="1">
        <v>5535525.6000000006</v>
      </c>
      <c r="Q187" s="1">
        <v>0</v>
      </c>
      <c r="AW187" s="32"/>
      <c r="BG187" s="32"/>
      <c r="BI187" s="1"/>
      <c r="BJ187" s="1"/>
      <c r="BL187" s="32"/>
      <c r="BN187" s="1"/>
      <c r="BO187" s="1"/>
      <c r="BP187" s="1"/>
    </row>
    <row r="188" spans="1:68">
      <c r="A188" s="32"/>
      <c r="D188" s="1"/>
      <c r="E188" s="1"/>
      <c r="K188" s="32"/>
      <c r="M188" s="243">
        <v>46138</v>
      </c>
      <c r="N188" s="1" t="str">
        <v xml:space="preserve">   Pendapatan Lain-lain</v>
      </c>
      <c r="O188" s="251">
        <v>4103</v>
      </c>
      <c r="P188" s="1">
        <v>0</v>
      </c>
      <c r="Q188" s="1">
        <v>5535525.6000000006</v>
      </c>
      <c r="AW188" s="32"/>
      <c r="BG188" s="32"/>
      <c r="BI188" s="1"/>
      <c r="BJ188" s="1"/>
      <c r="BL188" s="32"/>
      <c r="BN188" s="1"/>
      <c r="BO188" s="1"/>
      <c r="BP188" s="1"/>
    </row>
    <row r="189" spans="1:68">
      <c r="A189" s="32"/>
      <c r="D189" s="1"/>
      <c r="E189" s="1"/>
      <c r="K189" s="32"/>
      <c r="M189" s="243">
        <v>46140</v>
      </c>
      <c r="N189" s="1" t="str">
        <v>Piutang Usaha</v>
      </c>
      <c r="O189" s="251">
        <v>1103</v>
      </c>
      <c r="P189" s="1">
        <v>5535525.6000000006</v>
      </c>
      <c r="Q189" s="1">
        <v>0</v>
      </c>
      <c r="AW189" s="32"/>
      <c r="BG189" s="32"/>
      <c r="BI189" s="1"/>
      <c r="BJ189" s="1"/>
      <c r="BL189" s="32"/>
      <c r="BN189" s="1"/>
      <c r="BO189" s="1"/>
      <c r="BP189" s="1"/>
    </row>
    <row r="190" spans="1:68">
      <c r="A190" s="32"/>
      <c r="D190" s="1"/>
      <c r="E190" s="1"/>
      <c r="K190" s="32"/>
      <c r="M190" s="243">
        <v>46140</v>
      </c>
      <c r="N190" s="1" t="str">
        <v xml:space="preserve">   Penjualan Produk Garment</v>
      </c>
      <c r="O190" s="251">
        <v>4101</v>
      </c>
      <c r="P190" s="1">
        <v>0</v>
      </c>
      <c r="Q190" s="1">
        <v>4986960</v>
      </c>
      <c r="AW190" s="32"/>
      <c r="BG190" s="32"/>
      <c r="BI190" s="1"/>
      <c r="BJ190" s="1"/>
      <c r="BL190" s="32"/>
      <c r="BN190" s="1"/>
      <c r="BO190" s="1"/>
      <c r="BP190" s="1"/>
    </row>
    <row r="191" spans="1:68">
      <c r="A191" s="32"/>
      <c r="D191" s="1"/>
      <c r="E191" s="1"/>
      <c r="K191" s="32"/>
      <c r="M191" s="243">
        <v>46140</v>
      </c>
      <c r="N191" s="1" t="str">
        <v xml:space="preserve">   PPN Keluaran</v>
      </c>
      <c r="O191" s="251">
        <v>2106</v>
      </c>
      <c r="P191" s="1">
        <v>0</v>
      </c>
      <c r="Q191" s="1">
        <v>548565.6</v>
      </c>
      <c r="AW191" s="32"/>
      <c r="BG191" s="32"/>
      <c r="BI191" s="1"/>
      <c r="BJ191" s="1"/>
      <c r="BL191" s="32"/>
      <c r="BN191" s="1"/>
      <c r="BO191" s="1"/>
      <c r="BP191" s="1"/>
    </row>
    <row r="192" spans="1:68">
      <c r="A192" s="32"/>
      <c r="D192" s="1"/>
      <c r="E192" s="1"/>
      <c r="K192" s="32"/>
      <c r="M192" s="243">
        <v>46140</v>
      </c>
      <c r="N192" s="1" t="str">
        <v>Beban Pokok Penjualan</v>
      </c>
      <c r="O192" s="251">
        <v>5109</v>
      </c>
      <c r="P192" s="1">
        <v>3353984.962406015</v>
      </c>
      <c r="Q192" s="1">
        <v>0</v>
      </c>
      <c r="AW192" s="32"/>
      <c r="BG192" s="32"/>
      <c r="BI192" s="1"/>
      <c r="BJ192" s="1"/>
      <c r="BL192" s="32"/>
      <c r="BN192" s="1"/>
      <c r="BO192" s="1"/>
      <c r="BP192" s="1"/>
    </row>
    <row r="193" spans="1:68">
      <c r="A193" s="32"/>
      <c r="D193" s="1"/>
      <c r="E193" s="1"/>
      <c r="K193" s="32"/>
      <c r="M193" s="243">
        <v>46140</v>
      </c>
      <c r="N193" s="1" t="str">
        <v xml:space="preserve">   Persediaan Bahan Baku</v>
      </c>
      <c r="O193" s="251">
        <v>1104</v>
      </c>
      <c r="P193" s="1">
        <v>0</v>
      </c>
      <c r="Q193" s="1">
        <v>3353984.962406015</v>
      </c>
      <c r="AW193" s="32"/>
      <c r="BG193" s="32"/>
      <c r="BI193" s="1"/>
      <c r="BJ193" s="1"/>
      <c r="BL193" s="32"/>
      <c r="BN193" s="1"/>
      <c r="BO193" s="1"/>
      <c r="BP193" s="1"/>
    </row>
    <row r="194" spans="1:68">
      <c r="K194" s="32"/>
      <c r="M194" s="243">
        <v>46142</v>
      </c>
      <c r="N194" s="1" t="str">
        <v>Beban Pensiun</v>
      </c>
      <c r="O194" s="251">
        <v>5113</v>
      </c>
      <c r="P194" s="1">
        <v>243.28907254999078</v>
      </c>
      <c r="Q194" s="1">
        <v>0</v>
      </c>
      <c r="AW194" s="32"/>
      <c r="BG194" s="32"/>
      <c r="BI194" s="1"/>
      <c r="BJ194" s="1"/>
      <c r="BL194" s="32"/>
      <c r="BN194" s="1"/>
      <c r="BO194" s="1"/>
      <c r="BP194" s="1"/>
    </row>
    <row r="195" spans="1:68">
      <c r="A195" s="32"/>
      <c r="D195" s="1"/>
      <c r="E195" s="1"/>
      <c r="K195" s="32"/>
      <c r="M195" s="243">
        <v>46142</v>
      </c>
      <c r="N195" s="1" t="str">
        <v xml:space="preserve">   Kas</v>
      </c>
      <c r="O195" s="251">
        <v>1101</v>
      </c>
      <c r="P195" s="1">
        <v>0</v>
      </c>
      <c r="Q195" s="1">
        <v>243.28907254999078</v>
      </c>
      <c r="AW195" s="32"/>
      <c r="BG195" s="32"/>
      <c r="BI195" s="1"/>
      <c r="BJ195" s="1"/>
      <c r="BL195" s="32"/>
      <c r="BN195" s="1"/>
      <c r="BO195" s="1"/>
      <c r="BP195" s="1"/>
    </row>
    <row r="196" spans="1:68">
      <c r="A196" s="32"/>
      <c r="D196" s="1"/>
      <c r="E196" s="1"/>
      <c r="K196" s="32"/>
      <c r="M196" s="243">
        <v>46142</v>
      </c>
      <c r="N196" s="1" t="str">
        <v>Mesin Produksi</v>
      </c>
      <c r="O196" s="251">
        <v>1109</v>
      </c>
      <c r="P196" s="1">
        <v>2100000</v>
      </c>
      <c r="Q196" s="1">
        <v>0</v>
      </c>
      <c r="AW196" s="32"/>
      <c r="BG196" s="32"/>
      <c r="BI196" s="1"/>
      <c r="BJ196" s="1"/>
      <c r="BL196" s="32"/>
      <c r="BN196" s="1"/>
      <c r="BO196" s="1"/>
      <c r="BP196" s="1"/>
    </row>
    <row r="197" spans="1:68">
      <c r="A197" s="32"/>
      <c r="D197" s="1"/>
      <c r="E197" s="1"/>
      <c r="K197" s="32"/>
      <c r="M197" s="243">
        <v>46142</v>
      </c>
      <c r="N197" s="1" t="str">
        <v>Akumulasi Penyusutan Kendaraan</v>
      </c>
      <c r="O197" s="251">
        <v>1113</v>
      </c>
      <c r="P197" s="1">
        <v>400000</v>
      </c>
      <c r="Q197" s="1">
        <v>0</v>
      </c>
      <c r="AW197" s="32"/>
      <c r="BG197" s="32"/>
      <c r="BI197" s="1"/>
      <c r="BJ197" s="1"/>
      <c r="BL197" s="32"/>
      <c r="BN197" s="1"/>
      <c r="BO197" s="1"/>
      <c r="BP197" s="1"/>
    </row>
    <row r="198" spans="1:68">
      <c r="A198" s="32"/>
      <c r="D198" s="1"/>
      <c r="E198" s="1"/>
      <c r="K198" s="32"/>
      <c r="M198" s="243">
        <v>46142</v>
      </c>
      <c r="N198" s="1" t="str">
        <v xml:space="preserve">   Mesin Produksi</v>
      </c>
      <c r="O198" s="251">
        <v>1109</v>
      </c>
      <c r="P198" s="1">
        <v>0</v>
      </c>
      <c r="Q198" s="1">
        <v>1500000</v>
      </c>
      <c r="AW198" s="32"/>
      <c r="BG198" s="32"/>
      <c r="BI198" s="1"/>
      <c r="BJ198" s="1"/>
      <c r="BL198" s="32"/>
      <c r="BN198" s="1"/>
      <c r="BO198" s="1"/>
      <c r="BP198" s="1"/>
    </row>
    <row r="199" spans="1:68">
      <c r="A199" s="32"/>
      <c r="D199" s="1"/>
      <c r="E199" s="1"/>
      <c r="K199" s="32"/>
      <c r="M199" s="243">
        <v>46142</v>
      </c>
      <c r="N199" s="1" t="str">
        <v xml:space="preserve">   Kas</v>
      </c>
      <c r="O199" s="251">
        <v>1101</v>
      </c>
      <c r="P199" s="1">
        <v>0</v>
      </c>
      <c r="Q199" s="1">
        <v>1000000</v>
      </c>
      <c r="AW199" s="32"/>
      <c r="BG199" s="32"/>
      <c r="BI199" s="1"/>
      <c r="BJ199" s="1"/>
      <c r="BL199" s="32"/>
      <c r="BN199" s="1"/>
      <c r="BO199" s="1"/>
      <c r="BP199" s="1"/>
    </row>
    <row r="200" spans="1:68">
      <c r="A200" s="32"/>
      <c r="D200" s="1"/>
      <c r="E200" s="1"/>
      <c r="AW200" s="32"/>
      <c r="BG200" s="32"/>
      <c r="BI200" s="1"/>
      <c r="BJ200" s="1"/>
      <c r="BL200" s="32"/>
      <c r="BN200" s="1"/>
      <c r="BO200" s="1"/>
      <c r="BP200" s="1"/>
    </row>
    <row r="201" spans="1:68">
      <c r="A201" s="32"/>
      <c r="D201" s="1"/>
      <c r="E201" s="1"/>
      <c r="AW201" s="32"/>
      <c r="BG201" s="32"/>
      <c r="BI201" s="1"/>
      <c r="BJ201" s="1"/>
      <c r="BL201" s="32"/>
      <c r="BN201" s="1"/>
      <c r="BO201" s="1"/>
      <c r="BP201" s="1"/>
    </row>
    <row r="202" spans="1:68">
      <c r="A202" s="32"/>
      <c r="D202" s="1"/>
      <c r="E202" s="1"/>
      <c r="AW202" s="32"/>
      <c r="BG202" s="32"/>
      <c r="BI202" s="1"/>
      <c r="BJ202" s="1"/>
      <c r="BL202" s="32"/>
      <c r="BN202" s="1"/>
      <c r="BO202" s="1"/>
      <c r="BP202" s="1"/>
    </row>
    <row r="203" spans="1:68">
      <c r="A203" s="32"/>
      <c r="D203" s="1"/>
      <c r="E203" s="1"/>
      <c r="AW203" s="32"/>
      <c r="BG203" s="32"/>
      <c r="BI203" s="1"/>
      <c r="BJ203" s="1"/>
      <c r="BL203" s="32"/>
      <c r="BN203" s="1"/>
      <c r="BO203" s="1"/>
      <c r="BP203" s="1"/>
    </row>
    <row r="204" spans="1:68">
      <c r="A204" s="32"/>
      <c r="D204" s="1"/>
      <c r="E204" s="1"/>
      <c r="AW204" s="32"/>
      <c r="BG204" s="32"/>
      <c r="BI204" s="1"/>
      <c r="BJ204" s="1"/>
      <c r="BL204" s="32"/>
      <c r="BN204" s="1"/>
      <c r="BO204" s="1"/>
      <c r="BP204" s="1"/>
    </row>
    <row r="205" spans="1:68">
      <c r="AW205" s="32"/>
      <c r="BG205" s="32"/>
      <c r="BI205" s="1"/>
      <c r="BJ205" s="1"/>
      <c r="BL205" s="32"/>
      <c r="BN205" s="1"/>
      <c r="BO205" s="1"/>
      <c r="BP205" s="1"/>
    </row>
    <row r="206" spans="1:68">
      <c r="A206" s="32"/>
      <c r="D206" s="1"/>
      <c r="E206" s="1"/>
      <c r="AW206" s="32"/>
      <c r="BG206" s="32"/>
      <c r="BI206" s="1"/>
      <c r="BJ206" s="1"/>
      <c r="BL206" s="32"/>
      <c r="BN206" s="1"/>
      <c r="BO206" s="1"/>
      <c r="BP206" s="1"/>
    </row>
    <row r="207" spans="1:68">
      <c r="AW207" s="32"/>
      <c r="BG207" s="32"/>
      <c r="BI207" s="1"/>
      <c r="BJ207" s="1"/>
      <c r="BL207" s="32"/>
      <c r="BN207" s="1"/>
      <c r="BO207" s="1"/>
      <c r="BP207" s="1"/>
    </row>
    <row r="208" spans="1:68">
      <c r="A208" s="32"/>
      <c r="D208" s="1"/>
      <c r="E208" s="1"/>
      <c r="AW208" s="32"/>
      <c r="BG208" s="32"/>
      <c r="BI208" s="1"/>
      <c r="BJ208" s="1"/>
      <c r="BL208" s="32"/>
      <c r="BN208" s="1"/>
      <c r="BO208" s="1"/>
      <c r="BP208" s="1"/>
    </row>
    <row r="209" spans="1:68">
      <c r="A209" s="32"/>
      <c r="D209" s="1"/>
      <c r="E209" s="1"/>
      <c r="AW209" s="32"/>
      <c r="BG209" s="32"/>
      <c r="BI209" s="1"/>
      <c r="BJ209" s="1"/>
      <c r="BL209" s="32"/>
      <c r="BN209" s="1"/>
      <c r="BO209" s="1"/>
      <c r="BP209" s="1"/>
    </row>
    <row r="210" spans="1:68">
      <c r="A210" s="32"/>
      <c r="D210" s="1"/>
      <c r="E210" s="1"/>
      <c r="AW210" s="32"/>
      <c r="BG210" s="32"/>
      <c r="BI210" s="1"/>
      <c r="BJ210" s="1"/>
      <c r="BL210" s="32"/>
      <c r="BN210" s="1"/>
      <c r="BO210" s="1"/>
      <c r="BP210" s="1"/>
    </row>
    <row r="211" spans="1:68">
      <c r="A211" s="32"/>
      <c r="D211" s="1"/>
      <c r="E211" s="1"/>
      <c r="AW211" s="32"/>
      <c r="BG211" s="32"/>
      <c r="BI211" s="1"/>
      <c r="BJ211" s="1"/>
      <c r="BL211" s="32"/>
      <c r="BN211" s="1"/>
      <c r="BO211" s="1"/>
      <c r="BP211" s="1"/>
    </row>
    <row r="212" spans="1:68">
      <c r="A212" s="32"/>
      <c r="D212" s="1"/>
      <c r="E212" s="1"/>
      <c r="AW212" s="32"/>
      <c r="BG212" s="32"/>
      <c r="BI212" s="1"/>
      <c r="BJ212" s="1"/>
      <c r="BL212" s="32"/>
      <c r="BN212" s="1"/>
      <c r="BO212" s="1"/>
      <c r="BP212" s="1"/>
    </row>
    <row r="213" spans="1:68">
      <c r="A213" s="32"/>
      <c r="D213" s="1"/>
      <c r="E213" s="1"/>
      <c r="AW213" s="32"/>
      <c r="BG213" s="32"/>
      <c r="BI213" s="1"/>
      <c r="BJ213" s="1"/>
      <c r="BL213" s="32"/>
      <c r="BN213" s="1"/>
      <c r="BO213" s="1"/>
      <c r="BP213" s="1"/>
    </row>
    <row r="214" spans="1:68">
      <c r="A214" s="32"/>
      <c r="D214" s="1"/>
      <c r="E214" s="1"/>
      <c r="AW214" s="32"/>
      <c r="BG214" s="32"/>
      <c r="BI214" s="1"/>
      <c r="BJ214" s="1"/>
      <c r="BL214" s="32"/>
      <c r="BN214" s="1"/>
      <c r="BO214" s="1"/>
      <c r="BP214" s="1"/>
    </row>
    <row r="215" spans="1:68">
      <c r="A215" s="32"/>
      <c r="D215" s="1"/>
      <c r="E215" s="1"/>
      <c r="AW215" s="32"/>
      <c r="BG215" s="32"/>
      <c r="BI215" s="1"/>
      <c r="BJ215" s="1"/>
      <c r="BL215" s="32"/>
      <c r="BN215" s="1"/>
      <c r="BO215" s="1"/>
      <c r="BP215" s="1"/>
    </row>
    <row r="216" spans="1:68">
      <c r="A216" s="32"/>
      <c r="D216" s="1"/>
      <c r="E216" s="1"/>
      <c r="AW216" s="32"/>
      <c r="BG216" s="32"/>
      <c r="BI216" s="1"/>
      <c r="BJ216" s="1"/>
      <c r="BL216" s="32"/>
      <c r="BN216" s="1"/>
      <c r="BO216" s="1"/>
      <c r="BP216" s="1"/>
    </row>
    <row r="217" spans="1:68">
      <c r="A217" s="32"/>
      <c r="D217" s="1"/>
      <c r="E217" s="1"/>
      <c r="AW217" s="32"/>
      <c r="BG217" s="32"/>
      <c r="BI217" s="1"/>
      <c r="BJ217" s="1"/>
      <c r="BL217" s="32"/>
      <c r="BN217" s="1"/>
      <c r="BO217" s="1"/>
      <c r="BP217" s="1"/>
    </row>
    <row r="218" spans="1:68">
      <c r="A218" s="32"/>
      <c r="D218" s="1"/>
      <c r="E218" s="1"/>
      <c r="AW218" s="32"/>
      <c r="BG218" s="32"/>
      <c r="BI218" s="1"/>
      <c r="BJ218" s="1"/>
      <c r="BL218" s="32"/>
      <c r="BN218" s="1"/>
      <c r="BO218" s="1"/>
      <c r="BP218" s="1"/>
    </row>
    <row r="219" spans="1:68">
      <c r="A219" s="32"/>
      <c r="D219" s="1"/>
      <c r="E219" s="1"/>
      <c r="AW219" s="32"/>
      <c r="BG219" s="32"/>
      <c r="BI219" s="1"/>
      <c r="BJ219" s="1"/>
      <c r="BL219" s="32"/>
      <c r="BN219" s="1"/>
      <c r="BO219" s="1"/>
      <c r="BP219" s="1"/>
    </row>
    <row r="220" spans="1:68">
      <c r="A220" s="32"/>
      <c r="D220" s="1"/>
      <c r="E220" s="1"/>
      <c r="AW220" s="32"/>
      <c r="BG220" s="32"/>
      <c r="BI220" s="1"/>
      <c r="BJ220" s="1"/>
      <c r="BL220" s="32"/>
      <c r="BN220" s="1"/>
      <c r="BO220" s="1"/>
      <c r="BP220" s="1"/>
    </row>
    <row r="221" spans="1:68">
      <c r="A221" s="32"/>
      <c r="D221" s="1"/>
      <c r="E221" s="1"/>
      <c r="AW221" s="32"/>
      <c r="BG221" s="32"/>
      <c r="BI221" s="1"/>
      <c r="BJ221" s="1"/>
      <c r="BL221" s="32"/>
      <c r="BN221" s="1"/>
      <c r="BO221" s="1"/>
      <c r="BP221" s="1"/>
    </row>
    <row r="222" spans="1:68">
      <c r="A222" s="32"/>
      <c r="D222" s="1"/>
      <c r="E222" s="1"/>
      <c r="AW222" s="32"/>
      <c r="BG222" s="32"/>
      <c r="BI222" s="1"/>
      <c r="BJ222" s="1"/>
      <c r="BL222" s="32"/>
      <c r="BN222" s="1"/>
      <c r="BO222" s="1"/>
      <c r="BP222" s="1"/>
    </row>
    <row r="223" spans="1:68">
      <c r="A223" s="32"/>
      <c r="D223" s="1"/>
      <c r="E223" s="1"/>
      <c r="AW223" s="32"/>
      <c r="BG223" s="32"/>
      <c r="BI223" s="1"/>
      <c r="BJ223" s="1"/>
      <c r="BL223" s="32"/>
      <c r="BN223" s="1"/>
      <c r="BO223" s="1"/>
      <c r="BP223" s="1"/>
    </row>
    <row r="224" spans="1:68">
      <c r="A224" s="32"/>
      <c r="D224" s="1"/>
      <c r="E224" s="1"/>
      <c r="AW224" s="32"/>
      <c r="BG224" s="32"/>
      <c r="BI224" s="1"/>
      <c r="BJ224" s="1"/>
      <c r="BL224" s="32"/>
      <c r="BN224" s="1"/>
      <c r="BO224" s="1"/>
      <c r="BP224" s="1"/>
    </row>
    <row r="225" spans="1:68">
      <c r="A225" s="32"/>
      <c r="D225" s="1"/>
      <c r="E225" s="1"/>
      <c r="AW225" s="32"/>
      <c r="BG225" s="32"/>
      <c r="BI225" s="1"/>
      <c r="BJ225" s="1"/>
      <c r="BL225" s="32"/>
      <c r="BN225" s="1"/>
      <c r="BO225" s="1"/>
      <c r="BP225" s="1"/>
    </row>
    <row r="226" spans="1:68">
      <c r="AW226" s="32"/>
      <c r="BG226" s="32"/>
      <c r="BI226" s="1"/>
      <c r="BJ226" s="1"/>
      <c r="BL226" s="32"/>
      <c r="BN226" s="1"/>
      <c r="BO226" s="1"/>
      <c r="BP226" s="1"/>
    </row>
    <row r="227" spans="1:68">
      <c r="A227" s="32"/>
      <c r="D227" s="1"/>
      <c r="E227" s="1"/>
      <c r="AW227" s="32"/>
      <c r="BG227" s="32"/>
      <c r="BI227" s="1"/>
      <c r="BJ227" s="1"/>
      <c r="BL227" s="32"/>
      <c r="BN227" s="1"/>
      <c r="BO227" s="1"/>
      <c r="BP227" s="1"/>
    </row>
    <row r="228" spans="1:68">
      <c r="A228" s="32"/>
      <c r="D228" s="1"/>
      <c r="E228" s="1"/>
      <c r="AW228" s="32"/>
      <c r="BG228" s="32"/>
      <c r="BI228" s="1"/>
      <c r="BJ228" s="1"/>
      <c r="BL228" s="32"/>
      <c r="BN228" s="1"/>
      <c r="BO228" s="1"/>
      <c r="BP228" s="1"/>
    </row>
    <row r="229" spans="1:68">
      <c r="A229" s="32"/>
      <c r="D229" s="1"/>
      <c r="E229" s="1"/>
      <c r="AW229" s="32"/>
      <c r="BG229" s="32"/>
      <c r="BI229" s="1"/>
      <c r="BJ229" s="1"/>
      <c r="BL229" s="32"/>
      <c r="BN229" s="1"/>
      <c r="BO229" s="1"/>
      <c r="BP229" s="1"/>
    </row>
    <row r="230" spans="1:68">
      <c r="AW230" s="32"/>
      <c r="BG230" s="32"/>
      <c r="BI230" s="1"/>
      <c r="BJ230" s="1"/>
      <c r="BL230" s="32"/>
      <c r="BN230" s="1"/>
      <c r="BO230" s="1"/>
      <c r="BP230" s="1"/>
    </row>
    <row r="231" spans="1:68">
      <c r="A231" s="32"/>
      <c r="D231" s="1"/>
      <c r="E231" s="1"/>
      <c r="AW231" s="32"/>
      <c r="BG231" s="32"/>
      <c r="BI231" s="1"/>
      <c r="BJ231" s="1"/>
      <c r="BL231" s="32"/>
      <c r="BN231" s="1"/>
      <c r="BO231" s="1"/>
      <c r="BP231" s="1"/>
    </row>
    <row r="232" spans="1:68">
      <c r="A232" s="32"/>
      <c r="D232" s="1"/>
      <c r="E232" s="1"/>
      <c r="AW232" s="32"/>
      <c r="BG232" s="32"/>
      <c r="BI232" s="1"/>
      <c r="BJ232" s="1"/>
      <c r="BL232" s="32"/>
      <c r="BN232" s="1"/>
      <c r="BO232" s="1"/>
      <c r="BP232" s="1"/>
    </row>
    <row r="233" spans="1:68">
      <c r="A233" s="32"/>
      <c r="D233" s="1"/>
      <c r="E233" s="1"/>
      <c r="AW233" s="32"/>
      <c r="BG233" s="32"/>
      <c r="BI233" s="1"/>
      <c r="BJ233" s="1"/>
      <c r="BL233" s="32"/>
      <c r="BN233" s="1"/>
      <c r="BO233" s="1"/>
      <c r="BP233" s="1"/>
    </row>
    <row r="234" spans="1:68">
      <c r="A234" s="32"/>
      <c r="D234" s="1"/>
      <c r="E234" s="1"/>
      <c r="AW234" s="32"/>
      <c r="BG234" s="32"/>
      <c r="BI234" s="1"/>
      <c r="BJ234" s="1"/>
      <c r="BL234" s="32"/>
      <c r="BN234" s="1"/>
      <c r="BO234" s="1"/>
      <c r="BP234" s="1"/>
    </row>
    <row r="235" spans="1:68">
      <c r="A235" s="32"/>
      <c r="D235" s="1"/>
      <c r="E235" s="1"/>
      <c r="AW235" s="32"/>
      <c r="BG235" s="32"/>
      <c r="BI235" s="1"/>
      <c r="BJ235" s="1"/>
      <c r="BL235" s="32"/>
      <c r="BN235" s="1"/>
      <c r="BO235" s="1"/>
      <c r="BP235" s="1"/>
    </row>
    <row r="236" spans="1:68">
      <c r="AW236" s="32"/>
      <c r="BG236" s="32"/>
      <c r="BI236" s="1"/>
      <c r="BJ236" s="1"/>
      <c r="BL236" s="32"/>
      <c r="BN236" s="1"/>
      <c r="BO236" s="1"/>
      <c r="BP236" s="1"/>
    </row>
    <row r="237" spans="1:68">
      <c r="A237" s="32"/>
      <c r="D237" s="1"/>
      <c r="E237" s="1"/>
      <c r="AW237" s="32"/>
      <c r="BG237" s="32"/>
      <c r="BI237" s="1"/>
      <c r="BJ237" s="1"/>
      <c r="BL237" s="32"/>
      <c r="BN237" s="1"/>
      <c r="BO237" s="1"/>
      <c r="BP237" s="1"/>
    </row>
    <row r="238" spans="1:68">
      <c r="A238" s="32"/>
      <c r="D238" s="1"/>
      <c r="E238" s="1"/>
      <c r="AW238" s="32"/>
      <c r="BG238" s="32"/>
      <c r="BI238" s="1"/>
      <c r="BJ238" s="1"/>
      <c r="BL238" s="32"/>
      <c r="BN238" s="1"/>
      <c r="BO238" s="1"/>
      <c r="BP238" s="1"/>
    </row>
    <row r="239" spans="1:68">
      <c r="A239" s="32"/>
      <c r="D239" s="1"/>
      <c r="E239" s="1"/>
      <c r="AW239" s="32"/>
      <c r="BG239" s="32"/>
      <c r="BI239" s="1"/>
      <c r="BJ239" s="1"/>
      <c r="BL239" s="32"/>
      <c r="BN239" s="1"/>
      <c r="BO239" s="1"/>
      <c r="BP239" s="1"/>
    </row>
    <row r="240" spans="1:68">
      <c r="A240" s="32"/>
      <c r="D240" s="1"/>
      <c r="E240" s="1"/>
      <c r="AW240" s="32"/>
      <c r="BG240" s="32"/>
      <c r="BI240" s="1"/>
      <c r="BJ240" s="1"/>
      <c r="BL240" s="32"/>
      <c r="BN240" s="1"/>
      <c r="BO240" s="1"/>
      <c r="BP240" s="1"/>
    </row>
    <row r="241" spans="1:68">
      <c r="A241" s="32"/>
      <c r="D241" s="1"/>
      <c r="E241" s="1"/>
      <c r="AW241" s="32"/>
      <c r="BG241" s="32"/>
      <c r="BI241" s="1"/>
      <c r="BJ241" s="1"/>
      <c r="BL241" s="32"/>
      <c r="BN241" s="1"/>
      <c r="BO241" s="1"/>
      <c r="BP241" s="1"/>
    </row>
    <row r="242" spans="1:68">
      <c r="A242" s="32"/>
      <c r="D242" s="1"/>
      <c r="E242" s="1"/>
      <c r="AW242" s="32"/>
      <c r="BG242" s="32"/>
      <c r="BI242" s="1"/>
      <c r="BJ242" s="1"/>
      <c r="BL242" s="32"/>
      <c r="BN242" s="1"/>
      <c r="BO242" s="1"/>
      <c r="BP242" s="1"/>
    </row>
    <row r="243" spans="1:68">
      <c r="A243" s="32"/>
      <c r="D243" s="1"/>
      <c r="E243" s="1"/>
      <c r="AW243" s="32"/>
      <c r="BG243" s="32"/>
      <c r="BI243" s="1"/>
      <c r="BJ243" s="1"/>
      <c r="BL243" s="32"/>
      <c r="BN243" s="1"/>
      <c r="BO243" s="1"/>
      <c r="BP243" s="1"/>
    </row>
    <row r="244" spans="1:68">
      <c r="A244" s="32"/>
      <c r="D244" s="1"/>
      <c r="E244" s="1"/>
      <c r="AW244" s="32"/>
      <c r="BG244" s="32"/>
      <c r="BI244" s="1"/>
      <c r="BJ244" s="1"/>
      <c r="BL244" s="32"/>
      <c r="BN244" s="1"/>
      <c r="BO244" s="1"/>
      <c r="BP244" s="1"/>
    </row>
    <row r="245" spans="1:68">
      <c r="A245" s="32"/>
      <c r="D245" s="1"/>
      <c r="E245" s="1"/>
      <c r="AW245" s="32"/>
      <c r="BG245" s="32"/>
      <c r="BI245" s="1"/>
      <c r="BJ245" s="1"/>
      <c r="BL245" s="32"/>
      <c r="BN245" s="1"/>
      <c r="BO245" s="1"/>
      <c r="BP245" s="1"/>
    </row>
    <row r="246" spans="1:68">
      <c r="A246" s="32"/>
      <c r="D246" s="1"/>
      <c r="E246" s="1"/>
      <c r="AW246" s="32"/>
      <c r="BG246" s="32"/>
      <c r="BI246" s="1"/>
      <c r="BJ246" s="1"/>
      <c r="BL246" s="32"/>
      <c r="BN246" s="1"/>
      <c r="BO246" s="1"/>
      <c r="BP246" s="1"/>
    </row>
    <row r="247" spans="1:68">
      <c r="BG247" s="32"/>
      <c r="BI247" s="1"/>
      <c r="BJ247" s="1"/>
      <c r="BL247" s="32"/>
      <c r="BN247" s="1"/>
      <c r="BO247" s="1"/>
      <c r="BP247" s="1"/>
    </row>
    <row r="248" spans="1:68">
      <c r="A248" s="32"/>
      <c r="D248" s="1"/>
      <c r="E248" s="1"/>
      <c r="BI248" s="1"/>
      <c r="BJ248" s="1"/>
      <c r="BL248" s="32"/>
      <c r="BN248" s="1"/>
      <c r="BO248" s="1"/>
      <c r="BP248" s="1"/>
    </row>
    <row r="249" spans="1:68">
      <c r="AM249" s="1">
        <f>SUM(AM16:AM247)</f>
        <v>0</v>
      </c>
      <c r="AN249" s="1">
        <f>SUM(AN16:AN247)</f>
        <v>18382915</v>
      </c>
      <c r="BL249" s="32"/>
      <c r="BN249" s="1"/>
      <c r="BO249" s="1"/>
      <c r="BP249" s="1"/>
    </row>
    <row r="250" spans="1:68">
      <c r="A250" s="32"/>
      <c r="D250" s="1"/>
      <c r="E250" s="1"/>
      <c r="BL250" s="32"/>
      <c r="BN250" s="1"/>
      <c r="BO250" s="1"/>
      <c r="BP250" s="1"/>
    </row>
    <row r="251" spans="1:68">
      <c r="A251" s="32"/>
      <c r="D251" s="1"/>
      <c r="E251" s="1"/>
      <c r="BL251" s="32"/>
      <c r="BN251" s="1"/>
      <c r="BO251" s="1"/>
      <c r="BP251" s="1"/>
    </row>
    <row r="252" spans="1:68">
      <c r="A252" s="32"/>
      <c r="D252" s="1"/>
      <c r="E252" s="1"/>
      <c r="BL252" s="32"/>
      <c r="BN252" s="1"/>
      <c r="BO252" s="1"/>
      <c r="BP252" s="1"/>
    </row>
    <row r="253" spans="1:68">
      <c r="A253" s="32"/>
      <c r="D253" s="1"/>
      <c r="E253" s="1"/>
      <c r="BL253" s="32"/>
      <c r="BN253" s="1"/>
      <c r="BO253" s="1"/>
      <c r="BP253" s="1"/>
    </row>
    <row r="254" spans="1:68">
      <c r="A254" s="32"/>
      <c r="D254" s="1"/>
      <c r="E254" s="1"/>
      <c r="BL254" s="32"/>
      <c r="BN254" s="1"/>
      <c r="BO254" s="1"/>
      <c r="BP254" s="1"/>
    </row>
    <row r="255" spans="1:68">
      <c r="A255" s="32"/>
      <c r="D255" s="1"/>
      <c r="E255" s="1"/>
      <c r="BL255" s="32"/>
      <c r="BN255" s="1"/>
      <c r="BO255" s="1"/>
      <c r="BP255" s="1"/>
    </row>
    <row r="256" spans="1:68">
      <c r="A256" s="32"/>
      <c r="D256" s="1"/>
      <c r="E256" s="1"/>
      <c r="BL256" s="32"/>
      <c r="BN256" s="1"/>
      <c r="BO256" s="1"/>
      <c r="BP256" s="1"/>
    </row>
    <row r="257" spans="1:68">
      <c r="A257" s="32"/>
      <c r="D257" s="1"/>
      <c r="E257" s="1"/>
      <c r="BL257" s="32"/>
      <c r="BN257" s="1"/>
      <c r="BO257" s="1"/>
      <c r="BP257" s="1"/>
    </row>
    <row r="258" spans="1:68">
      <c r="A258" s="32"/>
      <c r="D258" s="1"/>
      <c r="E258" s="1"/>
      <c r="BL258" s="32"/>
      <c r="BN258" s="1"/>
      <c r="BO258" s="1"/>
      <c r="BP258" s="1"/>
    </row>
    <row r="259" spans="1:68">
      <c r="A259" s="32"/>
      <c r="D259" s="1"/>
      <c r="E259" s="1"/>
      <c r="BL259" s="32"/>
      <c r="BN259" s="1"/>
      <c r="BO259" s="1"/>
      <c r="BP259" s="1"/>
    </row>
    <row r="260" spans="1:68">
      <c r="A260" s="32"/>
      <c r="D260" s="1"/>
      <c r="E260" s="1"/>
      <c r="BL260" s="32"/>
      <c r="BN260" s="1"/>
      <c r="BO260" s="1"/>
      <c r="BP260" s="1"/>
    </row>
    <row r="261" spans="1:68">
      <c r="A261" s="32"/>
      <c r="D261" s="1"/>
      <c r="E261" s="1"/>
      <c r="BL261" s="32"/>
      <c r="BN261" s="1"/>
      <c r="BO261" s="1"/>
      <c r="BP261" s="1"/>
    </row>
    <row r="262" spans="1:68">
      <c r="A262" s="32"/>
      <c r="D262" s="1"/>
      <c r="E262" s="1"/>
      <c r="BL262" s="32"/>
      <c r="BN262" s="1"/>
      <c r="BO262" s="1"/>
      <c r="BP262" s="1"/>
    </row>
    <row r="263" spans="1:68">
      <c r="A263" s="32"/>
      <c r="D263" s="1"/>
      <c r="E263" s="1"/>
      <c r="BL263" s="32"/>
      <c r="BN263" s="1"/>
      <c r="BO263" s="1"/>
      <c r="BP263" s="1"/>
    </row>
    <row r="264" spans="1:68">
      <c r="A264" s="116" t="s">
        <v>51</v>
      </c>
      <c r="B264" s="116"/>
      <c r="C264" s="117" t="e">
        <f>D264-E264</f>
        <v>#REF!</v>
      </c>
      <c r="D264" s="118" t="e">
        <f>SUBTOTAL(109,#REF!)</f>
        <v>#REF!</v>
      </c>
      <c r="E264" s="118" t="e">
        <f>SUBTOTAL(109,#REF!)</f>
        <v>#REF!</v>
      </c>
      <c r="AM264" s="149" t="str">
        <f>IF(AN263&gt;AM263,AN263-AM263,"")</f>
        <v/>
      </c>
      <c r="AN264" s="149" t="str">
        <f>IF(AM263&gt;AN263,AM263-AN263,"")</f>
        <v/>
      </c>
      <c r="BL264" s="32"/>
      <c r="BN264" s="1"/>
      <c r="BO264" s="1"/>
      <c r="BP264" s="1"/>
    </row>
    <row r="265" spans="1:68">
      <c r="A265" s="10"/>
      <c r="B265" s="10"/>
      <c r="C265" s="10"/>
      <c r="D265" s="149" t="e">
        <f>IF(E264&gt;D264,E264-D264,"")</f>
        <v>#REF!</v>
      </c>
      <c r="E265" s="149" t="e">
        <f>IF(D264&gt;E264,D264-E264,"")</f>
        <v>#REF!</v>
      </c>
    </row>
  </sheetData>
  <mergeCells count="3">
    <mergeCell ref="D12:D13"/>
    <mergeCell ref="Z9:Z10"/>
    <mergeCell ref="Q13:Q14"/>
  </mergeCells>
  <phoneticPr fontId="17" type="noConversion"/>
  <pageMargins left="0.7" right="0.7" top="0.75" bottom="0.75" header="0.3" footer="0.3"/>
  <pageSetup paperSize="9" orientation="portrait" r:id="rId1"/>
  <drawing r:id="rId2"/>
  <tableParts count="1">
    <tablePart r:id="rId3"/>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9BD0724-A257-4CF3-A157-62E7E3028AF9}">
          <x14:formula1>
            <xm:f>'Kode Akun'!$D$5:$D$96</xm:f>
          </x14:formula1>
          <xm:sqref>A15 W15 M15</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636FD-EAC7-4086-AC98-9E84706F11E3}">
  <sheetPr>
    <tabColor rgb="FF09C9C8"/>
  </sheetPr>
  <dimension ref="A3:R255"/>
  <sheetViews>
    <sheetView showGridLines="0" showRowColHeaders="0" view="pageBreakPreview" zoomScale="96" zoomScaleNormal="100" zoomScaleSheetLayoutView="96" workbookViewId="0">
      <selection activeCell="J8" sqref="J8"/>
    </sheetView>
  </sheetViews>
  <sheetFormatPr defaultRowHeight="15"/>
  <cols>
    <col min="1" max="1" width="12.42578125" bestFit="1" customWidth="1"/>
    <col min="2" max="2" width="10.42578125" bestFit="1" customWidth="1"/>
    <col min="3" max="3" width="31.7109375" bestFit="1" customWidth="1"/>
    <col min="4" max="4" width="16.5703125" customWidth="1"/>
    <col min="5" max="5" width="12.7109375" customWidth="1"/>
    <col min="6" max="8" width="11.7109375" bestFit="1" customWidth="1"/>
    <col min="10" max="12" width="11.7109375" bestFit="1" customWidth="1"/>
    <col min="16" max="18" width="11.7109375" bestFit="1" customWidth="1"/>
  </cols>
  <sheetData>
    <row r="3" spans="1:16" ht="10.5" customHeight="1">
      <c r="A3" s="82" t="s">
        <v>179</v>
      </c>
    </row>
    <row r="4" spans="1:16" s="81" customFormat="1" ht="10.5" customHeight="1">
      <c r="A4" s="83" t="s">
        <v>178</v>
      </c>
    </row>
    <row r="5" spans="1:16" ht="10.5" customHeight="1">
      <c r="A5" s="82" t="s">
        <v>437</v>
      </c>
    </row>
    <row r="6" spans="1:16">
      <c r="J6" s="220">
        <v>46023</v>
      </c>
      <c r="P6" s="220" t="str">
        <f>"Sampai"&amp;" "&amp;"Jan 2026"</f>
        <v>Sampai Jan 2026</v>
      </c>
    </row>
    <row r="7" spans="1:16">
      <c r="B7" s="4" t="s">
        <v>58</v>
      </c>
      <c r="C7" t="s">
        <v>3</v>
      </c>
    </row>
    <row r="8" spans="1:16">
      <c r="A8" s="1"/>
      <c r="B8" cm="1">
        <f t="array" ref="B8">IFERROR(_xlfn.XLOOKUP(C8,COA[[#All],[Nama Akun]],COA[[#All],[COA]]),"")</f>
        <v>1101</v>
      </c>
      <c r="C8" t="str" cm="1">
        <f t="array" ref="C8:C31">_xlfn.CHOOSECOLS(_xlfn._xlws.SORT(_xlfn.HSTACK(_xlfn.UNIQUE(TRIM(Transaksi[Keterangan])),_xlfn.UNIQUE(Transaksi[Ref])),2,1),1)</f>
        <v>Kas</v>
      </c>
      <c r="D8" s="153" cm="1">
        <f t="array" ref="D8">IFERROR(_xlfn.IFS(OR(LEFT(B8,1)="1",LEFT(B8,1)="5"),SUMIF(Transaksi[[#All],[Keterangan]],'Neraca Saldo'!C8,Transaksi[[#All],[Debit]])-SUMIF(Transaksi[[#All],[Keterangan]],"   "&amp;'Neraca Saldo'!C8,Transaksi[[#All],[Kredit]]),OR(LEFT(B8,1)="2",LEFT(B8,1)="3",LEFT(B8,1)="4"),SUMIF(Transaksi[[#All],[Keterangan]],"   "&amp;'Neraca Saldo'!C8,Transaksi[[#All],[Kredit]])-SUMIF(Transaksi[[#All],[Keterangan]],'Neraca Saldo'!C8,Transaksi[[#All],[Debit]])),"")</f>
        <v>1668500</v>
      </c>
      <c r="E8" s="1"/>
      <c r="F8" s="3"/>
      <c r="J8" s="1" cm="1">
        <f t="array" ref="J8">_xlfn.IFS(OR(LEFT(B8,1)="1",LEFT(B8,1)="5"),SUMIF('Transaksi (2)'!$C$8:$C$37,'Neraca Saldo'!C8,'Transaksi (2)'!$E$8:$E$37)-SUMIF('Transaksi (2)'!$C$8:$C$37,"   "&amp;'Neraca Saldo'!C8,'Transaksi (2)'!$F$8:$F$37),OR(LEFT(B8,1)="2",LEFT(B8,1)="3",LEFT(B8,1)="4"),SUMIF('Transaksi (2)'!$C$8:$C$37,"   "&amp;'Neraca Saldo'!C8,'Transaksi (2)'!$F$8:$F$37)-SUMIF('Transaksi (2)'!$C$8:$C$37,'Neraca Saldo'!C8,'Transaksi (2)'!$E$8:$E$37))</f>
        <v>6176257.5484396517</v>
      </c>
      <c r="L8" s="222"/>
      <c r="P8" s="3">
        <f>D8+J8</f>
        <v>7844757.5484396517</v>
      </c>
    </row>
    <row r="9" spans="1:16">
      <c r="A9" s="1"/>
      <c r="B9" cm="1">
        <f t="array" ref="B9">IFERROR(_xlfn.XLOOKUP(C9,COA[[#All],[Nama Akun]],COA[[#All],[COA]]),"")</f>
        <v>1103</v>
      </c>
      <c r="C9" t="str">
        <v>Piutang Usaha</v>
      </c>
      <c r="D9" s="153" cm="1">
        <f t="array" ref="D9">IFERROR(_xlfn.IFS(OR(LEFT(B9,1)="1",LEFT(B9,1)="5"),SUMIF(Transaksi[[#All],[Keterangan]],'Neraca Saldo'!C9,Transaksi[[#All],[Debit]])-SUMIF(Transaksi[[#All],[Keterangan]],"   "&amp;'Neraca Saldo'!C9,Transaksi[[#All],[Kredit]]),OR(LEFT(B9,1)="2",LEFT(B9,1)="3",LEFT(B9,1)="4"),SUMIF(Transaksi[[#All],[Keterangan]],"   "&amp;'Neraca Saldo'!C9,Transaksi[[#All],[Kredit]])-SUMIF(Transaksi[[#All],[Keterangan]],'Neraca Saldo'!C9,Transaksi[[#All],[Debit]])),"")</f>
        <v>34184093.38787879</v>
      </c>
      <c r="J9" s="1" cm="1">
        <f t="array" ref="J9">_xlfn.IFS(OR(LEFT(B9,1)="1",LEFT(B9,1)="5"),SUMIF('Transaksi (2)'!$C$8:$C$37,'Neraca Saldo'!C9,'Transaksi (2)'!$E$8:$E$37)-SUMIF('Transaksi (2)'!$C$8:$C$37,"   "&amp;'Neraca Saldo'!C9,'Transaksi (2)'!$F$8:$F$37),OR(LEFT(B9,1)="2",LEFT(B9,1)="3",LEFT(B9,1)="4"),SUMIF('Transaksi (2)'!$C$8:$C$37,"   "&amp;'Neraca Saldo'!C9,'Transaksi (2)'!$F$8:$F$37)-SUMIF('Transaksi (2)'!$C$8:$C$37,'Neraca Saldo'!C9,'Transaksi (2)'!$E$8:$E$37))</f>
        <v>7560000</v>
      </c>
      <c r="P9" s="3">
        <f t="shared" ref="P9:P55" si="0">D9+J9</f>
        <v>41744093.38787879</v>
      </c>
    </row>
    <row r="10" spans="1:16">
      <c r="B10" cm="1">
        <f t="array" ref="B10">IFERROR(_xlfn.XLOOKUP(C10,COA[[#All],[Nama Akun]],COA[[#All],[COA]]),"")</f>
        <v>1104</v>
      </c>
      <c r="C10" t="str">
        <v>Persediaan Bahan Baku</v>
      </c>
      <c r="D10" s="153" cm="1">
        <f t="array" ref="D10">IFERROR(_xlfn.IFS(OR(LEFT(B10,1)="1",LEFT(B10,1)="5"),SUMIF(Transaksi[[#All],[Keterangan]],'Neraca Saldo'!C10,Transaksi[[#All],[Debit]])-SUMIF(Transaksi[[#All],[Keterangan]],"   "&amp;'Neraca Saldo'!C10,Transaksi[[#All],[Kredit]]),OR(LEFT(B10,1)="2",LEFT(B10,1)="3",LEFT(B10,1)="4"),SUMIF(Transaksi[[#All],[Keterangan]],"   "&amp;'Neraca Saldo'!C10,Transaksi[[#All],[Kredit]])-SUMIF(Transaksi[[#All],[Keterangan]],'Neraca Saldo'!C10,Transaksi[[#All],[Debit]])),"")</f>
        <v>3785904.4314325638</v>
      </c>
      <c r="J10" s="1" cm="1">
        <f t="array" ref="J10">_xlfn.IFS(OR(LEFT(B10,1)="1",LEFT(B10,1)="5"),SUMIF('Transaksi (2)'!$C$8:$C$37,'Neraca Saldo'!C10,'Transaksi (2)'!$E$8:$E$37)-SUMIF('Transaksi (2)'!$C$8:$C$37,"   "&amp;'Neraca Saldo'!C10,'Transaksi (2)'!$F$8:$F$37),OR(LEFT(B10,1)="2",LEFT(B10,1)="3",LEFT(B10,1)="4"),SUMIF('Transaksi (2)'!$C$8:$C$37,"   "&amp;'Neraca Saldo'!C10,'Transaksi (2)'!$F$8:$F$37)-SUMIF('Transaksi (2)'!$C$8:$C$37,'Neraca Saldo'!C10,'Transaksi (2)'!$E$8:$E$37))</f>
        <v>360000</v>
      </c>
      <c r="P10" s="3">
        <f t="shared" si="0"/>
        <v>4145904.4314325638</v>
      </c>
    </row>
    <row r="11" spans="1:16">
      <c r="B11" cm="1">
        <f t="array" ref="B11">IFERROR(_xlfn.XLOOKUP(C11,COA[[#All],[Nama Akun]],COA[[#All],[COA]]),"")</f>
        <v>1106</v>
      </c>
      <c r="C11" t="str">
        <v>Diskon Pembelian</v>
      </c>
      <c r="D11" s="153" cm="1">
        <f t="array" ref="D11">IFERROR(_xlfn.IFS(OR(LEFT(B11,1)="1",LEFT(B11,1)="5"),SUMIF(Transaksi[[#All],[Keterangan]],'Neraca Saldo'!C11,Transaksi[[#All],[Debit]])-SUMIF(Transaksi[[#All],[Keterangan]],"   "&amp;'Neraca Saldo'!C11,Transaksi[[#All],[Kredit]]),OR(LEFT(B11,1)="2",LEFT(B11,1)="3",LEFT(B11,1)="4"),SUMIF(Transaksi[[#All],[Keterangan]],"   "&amp;'Neraca Saldo'!C11,Transaksi[[#All],[Kredit]])-SUMIF(Transaksi[[#All],[Keterangan]],'Neraca Saldo'!C11,Transaksi[[#All],[Debit]])),"")</f>
        <v>-396315</v>
      </c>
      <c r="J11" s="1" cm="1">
        <f t="array" ref="J11">_xlfn.IFS(OR(LEFT(B11,1)="1",LEFT(B11,1)="5"),SUMIF('Transaksi (2)'!$C$8:$C$37,'Neraca Saldo'!C11,'Transaksi (2)'!$E$8:$E$37)-SUMIF('Transaksi (2)'!$C$8:$C$37,"   "&amp;'Neraca Saldo'!C11,'Transaksi (2)'!$F$8:$F$37),OR(LEFT(B11,1)="2",LEFT(B11,1)="3",LEFT(B11,1)="4"),SUMIF('Transaksi (2)'!$C$8:$C$37,"   "&amp;'Neraca Saldo'!C11,'Transaksi (2)'!$F$8:$F$37)-SUMIF('Transaksi (2)'!$C$8:$C$37,'Neraca Saldo'!C11,'Transaksi (2)'!$E$8:$E$37))</f>
        <v>-14900</v>
      </c>
      <c r="P11" s="3">
        <f t="shared" si="0"/>
        <v>-411215</v>
      </c>
    </row>
    <row r="12" spans="1:16">
      <c r="B12" cm="1">
        <f t="array" ref="B12">IFERROR(_xlfn.XLOOKUP(C12,COA[[#All],[Nama Akun]],COA[[#All],[COA]]),"")</f>
        <v>1107</v>
      </c>
      <c r="C12" t="str">
        <v>Gedung</v>
      </c>
      <c r="D12" s="153" cm="1">
        <f t="array" ref="D12">IFERROR(_xlfn.IFS(OR(LEFT(B12,1)="1",LEFT(B12,1)="5"),SUMIF(Transaksi[[#All],[Keterangan]],'Neraca Saldo'!C12,Transaksi[[#All],[Debit]])-SUMIF(Transaksi[[#All],[Keterangan]],"   "&amp;'Neraca Saldo'!C12,Transaksi[[#All],[Kredit]]),OR(LEFT(B12,1)="2",LEFT(B12,1)="3",LEFT(B12,1)="4"),SUMIF(Transaksi[[#All],[Keterangan]],"   "&amp;'Neraca Saldo'!C12,Transaksi[[#All],[Kredit]])-SUMIF(Transaksi[[#All],[Keterangan]],'Neraca Saldo'!C12,Transaksi[[#All],[Debit]])),"")</f>
        <v>1000000</v>
      </c>
      <c r="J12" s="1" cm="1">
        <f t="array" ref="J12">_xlfn.IFS(OR(LEFT(B12,1)="1",LEFT(B12,1)="5"),SUMIF('Transaksi (2)'!$C$8:$C$37,'Neraca Saldo'!C12,'Transaksi (2)'!$E$8:$E$37)-SUMIF('Transaksi (2)'!$C$8:$C$37,"   "&amp;'Neraca Saldo'!C12,'Transaksi (2)'!$F$8:$F$37),OR(LEFT(B12,1)="2",LEFT(B12,1)="3",LEFT(B12,1)="4"),SUMIF('Transaksi (2)'!$C$8:$C$37,"   "&amp;'Neraca Saldo'!C12,'Transaksi (2)'!$F$8:$F$37)-SUMIF('Transaksi (2)'!$C$8:$C$37,'Neraca Saldo'!C12,'Transaksi (2)'!$E$8:$E$37))</f>
        <v>0</v>
      </c>
      <c r="P12" s="3">
        <f t="shared" si="0"/>
        <v>1000000</v>
      </c>
    </row>
    <row r="13" spans="1:16">
      <c r="B13" cm="1">
        <f t="array" ref="B13">IFERROR(_xlfn.XLOOKUP(C13,COA[[#All],[Nama Akun]],COA[[#All],[COA]]),"")</f>
        <v>1108</v>
      </c>
      <c r="C13" t="str">
        <v>Akumulasi Penyusutan Gedung</v>
      </c>
      <c r="D13" s="153" cm="1">
        <f t="array" ref="D13">IFERROR(_xlfn.IFS(OR(LEFT(B13,1)="1",LEFT(B13,1)="5"),SUMIF(Transaksi[[#All],[Keterangan]],'Neraca Saldo'!C13,Transaksi[[#All],[Debit]])-SUMIF(Transaksi[[#All],[Keterangan]],"   "&amp;'Neraca Saldo'!C13,Transaksi[[#All],[Kredit]]),OR(LEFT(B13,1)="2",LEFT(B13,1)="3",LEFT(B13,1)="4"),SUMIF(Transaksi[[#All],[Keterangan]],"   "&amp;'Neraca Saldo'!C13,Transaksi[[#All],[Kredit]])-SUMIF(Transaksi[[#All],[Keterangan]],'Neraca Saldo'!C13,Transaksi[[#All],[Debit]])),"")</f>
        <v>-100000</v>
      </c>
      <c r="J13" s="1" cm="1">
        <f t="array" ref="J13">_xlfn.IFS(OR(LEFT(B13,1)="1",LEFT(B13,1)="5"),SUMIF('Transaksi (2)'!$C$8:$C$37,'Neraca Saldo'!C13,'Transaksi (2)'!$E$8:$E$37)-SUMIF('Transaksi (2)'!$C$8:$C$37,"   "&amp;'Neraca Saldo'!C13,'Transaksi (2)'!$F$8:$F$37),OR(LEFT(B13,1)="2",LEFT(B13,1)="3",LEFT(B13,1)="4"),SUMIF('Transaksi (2)'!$C$8:$C$37,"   "&amp;'Neraca Saldo'!C13,'Transaksi (2)'!$F$8:$F$37)-SUMIF('Transaksi (2)'!$C$8:$C$37,'Neraca Saldo'!C13,'Transaksi (2)'!$E$8:$E$37))</f>
        <v>0</v>
      </c>
      <c r="P13" s="3">
        <f t="shared" si="0"/>
        <v>-100000</v>
      </c>
    </row>
    <row r="14" spans="1:16">
      <c r="B14" cm="1">
        <f t="array" ref="B14">IFERROR(_xlfn.XLOOKUP(C14,COA[[#All],[Nama Akun]],COA[[#All],[COA]]),"")</f>
        <v>1109</v>
      </c>
      <c r="C14" t="str">
        <v>Mesin Produksi</v>
      </c>
      <c r="D14" s="153" cm="1">
        <f t="array" ref="D14">IFERROR(_xlfn.IFS(OR(LEFT(B14,1)="1",LEFT(B14,1)="5"),SUMIF(Transaksi[[#All],[Keterangan]],'Neraca Saldo'!C14,Transaksi[[#All],[Debit]])-SUMIF(Transaksi[[#All],[Keterangan]],"   "&amp;'Neraca Saldo'!C14,Transaksi[[#All],[Kredit]]),OR(LEFT(B14,1)="2",LEFT(B14,1)="3",LEFT(B14,1)="4"),SUMIF(Transaksi[[#All],[Keterangan]],"   "&amp;'Neraca Saldo'!C14,Transaksi[[#All],[Kredit]])-SUMIF(Transaksi[[#All],[Keterangan]],'Neraca Saldo'!C14,Transaksi[[#All],[Debit]])),"")</f>
        <v>1500000</v>
      </c>
      <c r="J14" s="1" cm="1">
        <f t="array" ref="J14">_xlfn.IFS(OR(LEFT(B14,1)="1",LEFT(B14,1)="5"),SUMIF('Transaksi (2)'!$C$8:$C$37,'Neraca Saldo'!C14,'Transaksi (2)'!$E$8:$E$37)-SUMIF('Transaksi (2)'!$C$8:$C$37,"   "&amp;'Neraca Saldo'!C14,'Transaksi (2)'!$F$8:$F$37),OR(LEFT(B14,1)="2",LEFT(B14,1)="3",LEFT(B14,1)="4"),SUMIF('Transaksi (2)'!$C$8:$C$37,"   "&amp;'Neraca Saldo'!C14,'Transaksi (2)'!$F$8:$F$37)-SUMIF('Transaksi (2)'!$C$8:$C$37,'Neraca Saldo'!C14,'Transaksi (2)'!$E$8:$E$37))</f>
        <v>0</v>
      </c>
      <c r="P14" s="3">
        <f t="shared" si="0"/>
        <v>1500000</v>
      </c>
    </row>
    <row r="15" spans="1:16">
      <c r="B15" cm="1">
        <f t="array" ref="B15">IFERROR(_xlfn.XLOOKUP(C15,COA[[#All],[Nama Akun]],COA[[#All],[COA]]),"")</f>
        <v>1110</v>
      </c>
      <c r="C15" t="str">
        <v>Akumulasi Penyusutan Mesin</v>
      </c>
      <c r="D15" s="153" cm="1">
        <f t="array" ref="D15">IFERROR(_xlfn.IFS(OR(LEFT(B15,1)="1",LEFT(B15,1)="5"),SUMIF(Transaksi[[#All],[Keterangan]],'Neraca Saldo'!C15,Transaksi[[#All],[Debit]])-SUMIF(Transaksi[[#All],[Keterangan]],"   "&amp;'Neraca Saldo'!C15,Transaksi[[#All],[Kredit]]),OR(LEFT(B15,1)="2",LEFT(B15,1)="3",LEFT(B15,1)="4"),SUMIF(Transaksi[[#All],[Keterangan]],"   "&amp;'Neraca Saldo'!C15,Transaksi[[#All],[Kredit]])-SUMIF(Transaksi[[#All],[Keterangan]],'Neraca Saldo'!C15,Transaksi[[#All],[Debit]])),"")</f>
        <v>-300000</v>
      </c>
      <c r="J15" s="1" cm="1">
        <f t="array" ref="J15">_xlfn.IFS(OR(LEFT(B15,1)="1",LEFT(B15,1)="5"),SUMIF('Transaksi (2)'!$C$8:$C$37,'Neraca Saldo'!C15,'Transaksi (2)'!$E$8:$E$37)-SUMIF('Transaksi (2)'!$C$8:$C$37,"   "&amp;'Neraca Saldo'!C15,'Transaksi (2)'!$F$8:$F$37),OR(LEFT(B15,1)="2",LEFT(B15,1)="3",LEFT(B15,1)="4"),SUMIF('Transaksi (2)'!$C$8:$C$37,"   "&amp;'Neraca Saldo'!C15,'Transaksi (2)'!$F$8:$F$37)-SUMIF('Transaksi (2)'!$C$8:$C$37,'Neraca Saldo'!C15,'Transaksi (2)'!$E$8:$E$37))</f>
        <v>0</v>
      </c>
      <c r="P15" s="3">
        <f t="shared" si="0"/>
        <v>-300000</v>
      </c>
    </row>
    <row r="16" spans="1:16">
      <c r="B16" cm="1">
        <f t="array" ref="B16">IFERROR(_xlfn.XLOOKUP(C16,COA[[#All],[Nama Akun]],COA[[#All],[COA]]),"")</f>
        <v>1114</v>
      </c>
      <c r="C16" t="str">
        <v>PPN Masukan</v>
      </c>
      <c r="D16" s="153" cm="1">
        <f t="array" ref="D16">IFERROR(_xlfn.IFS(OR(LEFT(B16,1)="1",LEFT(B16,1)="5"),SUMIF(Transaksi[[#All],[Keterangan]],'Neraca Saldo'!C16,Transaksi[[#All],[Debit]])-SUMIF(Transaksi[[#All],[Keterangan]],"   "&amp;'Neraca Saldo'!C16,Transaksi[[#All],[Kredit]]),OR(LEFT(B16,1)="2",LEFT(B16,1)="3",LEFT(B16,1)="4"),SUMIF(Transaksi[[#All],[Keterangan]],"   "&amp;'Neraca Saldo'!C16,Transaksi[[#All],[Kredit]])-SUMIF(Transaksi[[#All],[Keterangan]],'Neraca Saldo'!C16,Transaksi[[#All],[Debit]])),"")</f>
        <v>618954</v>
      </c>
      <c r="J16" s="1" cm="1">
        <f t="array" ref="J16">_xlfn.IFS(OR(LEFT(B16,1)="1",LEFT(B16,1)="5"),SUMIF('Transaksi (2)'!$C$8:$C$37,'Neraca Saldo'!C16,'Transaksi (2)'!$E$8:$E$37)-SUMIF('Transaksi (2)'!$C$8:$C$37,"   "&amp;'Neraca Saldo'!C16,'Transaksi (2)'!$F$8:$F$37),OR(LEFT(B16,1)="2",LEFT(B16,1)="3",LEFT(B16,1)="4"),SUMIF('Transaksi (2)'!$C$8:$C$37,"   "&amp;'Neraca Saldo'!C16,'Transaksi (2)'!$F$8:$F$37)-SUMIF('Transaksi (2)'!$C$8:$C$37,'Neraca Saldo'!C16,'Transaksi (2)'!$E$8:$E$37))</f>
        <v>504900</v>
      </c>
      <c r="P16" s="3">
        <f t="shared" si="0"/>
        <v>1123854</v>
      </c>
    </row>
    <row r="17" spans="2:18">
      <c r="B17" cm="1">
        <f t="array" ref="B17">IFERROR(_xlfn.XLOOKUP(C17,COA[[#All],[Nama Akun]],COA[[#All],[COA]]),"")</f>
        <v>2101</v>
      </c>
      <c r="C17" t="str">
        <v>Utang Usaha</v>
      </c>
      <c r="D17" s="153" cm="1">
        <f t="array" ref="D17">IFERROR(_xlfn.IFS(OR(LEFT(B17,1)="1",LEFT(B17,1)="5"),SUMIF(Transaksi[[#All],[Keterangan]],'Neraca Saldo'!C17,Transaksi[[#All],[Debit]])-SUMIF(Transaksi[[#All],[Keterangan]],"   "&amp;'Neraca Saldo'!C17,Transaksi[[#All],[Kredit]]),OR(LEFT(B17,1)="2",LEFT(B17,1)="3",LEFT(B17,1)="4"),SUMIF(Transaksi[[#All],[Keterangan]],"   "&amp;'Neraca Saldo'!C17,Transaksi[[#All],[Kredit]])-SUMIF(Transaksi[[#All],[Keterangan]],'Neraca Saldo'!C17,Transaksi[[#All],[Debit]])),"")</f>
        <v>8292639</v>
      </c>
      <c r="J17" s="1" cm="1">
        <f t="array" ref="J17">_xlfn.IFS(OR(LEFT(B17,1)="1",LEFT(B17,1)="5"),SUMIF('Transaksi (2)'!$C$8:$C$37,'Neraca Saldo'!C17,'Transaksi (2)'!$E$8:$E$37)-SUMIF('Transaksi (2)'!$C$8:$C$37,"   "&amp;'Neraca Saldo'!C17,'Transaksi (2)'!$F$8:$F$37),OR(LEFT(B17,1)="2",LEFT(B17,1)="3",LEFT(B17,1)="4"),SUMIF('Transaksi (2)'!$C$8:$C$37,"   "&amp;'Neraca Saldo'!C17,'Transaksi (2)'!$F$8:$F$37)-SUMIF('Transaksi (2)'!$C$8:$C$37,'Neraca Saldo'!C17,'Transaksi (2)'!$E$8:$E$37))</f>
        <v>5080444</v>
      </c>
      <c r="P17" s="3">
        <f t="shared" si="0"/>
        <v>13373083</v>
      </c>
    </row>
    <row r="18" spans="2:18">
      <c r="B18" cm="1">
        <f t="array" ref="B18">IFERROR(_xlfn.XLOOKUP(C18,COA[[#All],[Nama Akun]],COA[[#All],[COA]]),"")</f>
        <v>2102</v>
      </c>
      <c r="C18" t="str">
        <v>Utang Pajak Gaji</v>
      </c>
      <c r="D18" s="153" cm="1">
        <f t="array" ref="D18">IFERROR(_xlfn.IFS(OR(LEFT(B18,1)="1",LEFT(B18,1)="5"),SUMIF(Transaksi[[#All],[Keterangan]],'Neraca Saldo'!C18,Transaksi[[#All],[Debit]])-SUMIF(Transaksi[[#All],[Keterangan]],"   "&amp;'Neraca Saldo'!C18,Transaksi[[#All],[Kredit]]),OR(LEFT(B18,1)="2",LEFT(B18,1)="3",LEFT(B18,1)="4"),SUMIF(Transaksi[[#All],[Keterangan]],"   "&amp;'Neraca Saldo'!C18,Transaksi[[#All],[Kredit]])-SUMIF(Transaksi[[#All],[Keterangan]],'Neraca Saldo'!C18,Transaksi[[#All],[Debit]])),"")</f>
        <v>585231.02727272734</v>
      </c>
      <c r="J18" s="1" cm="1">
        <f t="array" ref="J18">_xlfn.IFS(OR(LEFT(B18,1)="1",LEFT(B18,1)="5"),SUMIF('Transaksi (2)'!$C$8:$C$37,'Neraca Saldo'!C18,'Transaksi (2)'!$E$8:$E$37)-SUMIF('Transaksi (2)'!$C$8:$C$37,"   "&amp;'Neraca Saldo'!C18,'Transaksi (2)'!$F$8:$F$37),OR(LEFT(B18,1)="2",LEFT(B18,1)="3",LEFT(B18,1)="4"),SUMIF('Transaksi (2)'!$C$8:$C$37,"   "&amp;'Neraca Saldo'!C18,'Transaksi (2)'!$F$8:$F$37)-SUMIF('Transaksi (2)'!$C$8:$C$37,'Neraca Saldo'!C18,'Transaksi (2)'!$E$8:$E$37))</f>
        <v>60000</v>
      </c>
      <c r="P18" s="3">
        <f t="shared" si="0"/>
        <v>645231.02727272734</v>
      </c>
    </row>
    <row r="19" spans="2:18">
      <c r="B19" cm="1">
        <f t="array" ref="B19">IFERROR(_xlfn.XLOOKUP(C19,COA[[#All],[Nama Akun]],COA[[#All],[COA]]),"")</f>
        <v>2103</v>
      </c>
      <c r="C19" t="str">
        <v>Utang Gaji</v>
      </c>
      <c r="D19" s="153" cm="1">
        <f t="array" ref="D19">IFERROR(_xlfn.IFS(OR(LEFT(B19,1)="1",LEFT(B19,1)="5"),SUMIF(Transaksi[[#All],[Keterangan]],'Neraca Saldo'!C19,Transaksi[[#All],[Debit]])-SUMIF(Transaksi[[#All],[Keterangan]],"   "&amp;'Neraca Saldo'!C19,Transaksi[[#All],[Kredit]]),OR(LEFT(B19,1)="2",LEFT(B19,1)="3",LEFT(B19,1)="4"),SUMIF(Transaksi[[#All],[Keterangan]],"   "&amp;'Neraca Saldo'!C19,Transaksi[[#All],[Kredit]])-SUMIF(Transaksi[[#All],[Keterangan]],'Neraca Saldo'!C19,Transaksi[[#All],[Debit]])),"")</f>
        <v>0</v>
      </c>
      <c r="F19" s="54" cm="1">
        <f t="array" ref="F19">SUMPRODUCT((LEFT(B8:B100&amp;"",1)="1")*(D8:D100))</f>
        <v>41961136.819311351</v>
      </c>
      <c r="J19" s="1" cm="1">
        <f t="array" ref="J19">_xlfn.IFS(OR(LEFT(B19,1)="1",LEFT(B19,1)="5"),SUMIF('Transaksi (2)'!$C$8:$C$37,'Neraca Saldo'!C19,'Transaksi (2)'!$E$8:$E$37)-SUMIF('Transaksi (2)'!$C$8:$C$37,"   "&amp;'Neraca Saldo'!C19,'Transaksi (2)'!$F$8:$F$37),OR(LEFT(B19,1)="2",LEFT(B19,1)="3",LEFT(B19,1)="4"),SUMIF('Transaksi (2)'!$C$8:$C$37,"   "&amp;'Neraca Saldo'!C19,'Transaksi (2)'!$F$8:$F$37)-SUMIF('Transaksi (2)'!$C$8:$C$37,'Neraca Saldo'!C19,'Transaksi (2)'!$E$8:$E$37))</f>
        <v>0</v>
      </c>
      <c r="K19" s="54" cm="1">
        <f t="array" ref="K19">SUMPRODUCT((LEFT(B8:B100&amp;"",1)="1")*(J8:J100))</f>
        <v>14586257.548439652</v>
      </c>
      <c r="P19" s="3">
        <f t="shared" si="0"/>
        <v>0</v>
      </c>
      <c r="Q19" s="54" cm="1">
        <f t="array" ref="Q19">SUMPRODUCT((LEFT(B8:B100&amp;"",1)="1")*(P8:P100))</f>
        <v>56547394.367751002</v>
      </c>
    </row>
    <row r="20" spans="2:18">
      <c r="B20" cm="1">
        <f t="array" ref="B20">IFERROR(_xlfn.XLOOKUP(C20,COA[[#All],[Nama Akun]],COA[[#All],[COA]]),"")</f>
        <v>2106</v>
      </c>
      <c r="C20" t="str">
        <v>PPN Keluaran</v>
      </c>
      <c r="D20" s="153" cm="1">
        <f t="array" ref="D20">IFERROR(_xlfn.IFS(OR(LEFT(B20,1)="1",LEFT(B20,1)="5"),SUMIF(Transaksi[[#All],[Keterangan]],'Neraca Saldo'!C20,Transaksi[[#All],[Debit]])-SUMIF(Transaksi[[#All],[Keterangan]],"   "&amp;'Neraca Saldo'!C20,Transaksi[[#All],[Kredit]]),OR(LEFT(B20,1)="2",LEFT(B20,1)="3",LEFT(B20,1)="4"),SUMIF(Transaksi[[#All],[Keterangan]],"   "&amp;'Neraca Saldo'!C20,Transaksi[[#All],[Kredit]])-SUMIF(Transaksi[[#All],[Keterangan]],'Neraca Saldo'!C20,Transaksi[[#All],[Debit]])),"")</f>
        <v>3428239.8222222221</v>
      </c>
      <c r="J20" s="1" cm="1">
        <f t="array" ref="J20">_xlfn.IFS(OR(LEFT(B20,1)="1",LEFT(B20,1)="5"),SUMIF('Transaksi (2)'!$C$8:$C$37,'Neraca Saldo'!C20,'Transaksi (2)'!$E$8:$E$37)-SUMIF('Transaksi (2)'!$C$8:$C$37,"   "&amp;'Neraca Saldo'!C20,'Transaksi (2)'!$F$8:$F$37),OR(LEFT(B20,1)="2",LEFT(B20,1)="3",LEFT(B20,1)="4"),SUMIF('Transaksi (2)'!$C$8:$C$37,"   "&amp;'Neraca Saldo'!C20,'Transaksi (2)'!$F$8:$F$37)-SUMIF('Transaksi (2)'!$C$8:$C$37,'Neraca Saldo'!C20,'Transaksi (2)'!$E$8:$E$37))</f>
        <v>761750</v>
      </c>
      <c r="P20" s="3">
        <f t="shared" si="0"/>
        <v>4189989.8222222221</v>
      </c>
    </row>
    <row r="21" spans="2:18">
      <c r="B21" cm="1">
        <f t="array" ref="B21">IFERROR(_xlfn.XLOOKUP(C21,COA[[#All],[Nama Akun]],COA[[#All],[COA]]),"")</f>
        <v>3102</v>
      </c>
      <c r="C21" t="str">
        <v>Modal</v>
      </c>
      <c r="D21" s="153" cm="1">
        <f t="array" ref="D21">IFERROR(_xlfn.IFS(OR(LEFT(B21,1)="1",LEFT(B21,1)="5"),SUMIF(Transaksi[[#All],[Keterangan]],'Neraca Saldo'!C21,Transaksi[[#All],[Debit]])-SUMIF(Transaksi[[#All],[Keterangan]],"   "&amp;'Neraca Saldo'!C21,Transaksi[[#All],[Kredit]]),OR(LEFT(B21,1)="2",LEFT(B21,1)="3",LEFT(B21,1)="4"),SUMIF(Transaksi[[#All],[Keterangan]],"   "&amp;'Neraca Saldo'!C21,Transaksi[[#All],[Kredit]])-SUMIF(Transaksi[[#All],[Keterangan]],'Neraca Saldo'!C21,Transaksi[[#All],[Debit]])),"")</f>
        <v>18000000</v>
      </c>
      <c r="J21" s="1" cm="1">
        <f t="array" ref="J21">_xlfn.IFS(OR(LEFT(B21,1)="1",LEFT(B21,1)="5"),SUMIF('Transaksi (2)'!$C$8:$C$37,'Neraca Saldo'!C21,'Transaksi (2)'!$E$8:$E$37)-SUMIF('Transaksi (2)'!$C$8:$C$37,"   "&amp;'Neraca Saldo'!C21,'Transaksi (2)'!$F$8:$F$37),OR(LEFT(B21,1)="2",LEFT(B21,1)="3",LEFT(B21,1)="4"),SUMIF('Transaksi (2)'!$C$8:$C$37,"   "&amp;'Neraca Saldo'!C21,'Transaksi (2)'!$F$8:$F$37)-SUMIF('Transaksi (2)'!$C$8:$C$37,'Neraca Saldo'!C21,'Transaksi (2)'!$E$8:$E$37))</f>
        <v>0</v>
      </c>
      <c r="P21" s="3">
        <f t="shared" si="0"/>
        <v>18000000</v>
      </c>
    </row>
    <row r="22" spans="2:18">
      <c r="B22" cm="1">
        <f t="array" ref="B22">IFERROR(_xlfn.XLOOKUP(C22,COA[[#All],[Nama Akun]],COA[[#All],[COA]]),"")</f>
        <v>3103</v>
      </c>
      <c r="C22" t="str">
        <v>Laba Ditahan</v>
      </c>
      <c r="D22" s="153" cm="1">
        <f t="array" ref="D22">IFERROR(_xlfn.IFS(OR(LEFT(B22,1)="1",LEFT(B22,1)="5"),SUMIF(Transaksi[[#All],[Keterangan]],'Neraca Saldo'!C22,Transaksi[[#All],[Debit]])-SUMIF(Transaksi[[#All],[Keterangan]],"   "&amp;'Neraca Saldo'!C22,Transaksi[[#All],[Kredit]]),OR(LEFT(B22,1)="2",LEFT(B22,1)="3",LEFT(B22,1)="4"),SUMIF(Transaksi[[#All],[Keterangan]],"   "&amp;'Neraca Saldo'!C22,Transaksi[[#All],[Kredit]])-SUMIF(Transaksi[[#All],[Keterangan]],'Neraca Saldo'!C22,Transaksi[[#All],[Debit]])),"")</f>
        <v>11655026.969816402</v>
      </c>
      <c r="J22" s="1" cm="1">
        <f t="array" ref="J22">_xlfn.IFS(OR(LEFT(B22,1)="1",LEFT(B22,1)="5"),SUMIF('Transaksi (2)'!$C$8:$C$37,'Neraca Saldo'!C22,'Transaksi (2)'!$E$8:$E$37)-SUMIF('Transaksi (2)'!$C$8:$C$37,"   "&amp;'Neraca Saldo'!C22,'Transaksi (2)'!$F$8:$F$37),OR(LEFT(B22,1)="2",LEFT(B22,1)="3",LEFT(B22,1)="4"),SUMIF('Transaksi (2)'!$C$8:$C$37,"   "&amp;'Neraca Saldo'!C22,'Transaksi (2)'!$F$8:$F$37)-SUMIF('Transaksi (2)'!$C$8:$C$37,'Neraca Saldo'!C22,'Transaksi (2)'!$E$8:$E$37))</f>
        <v>0</v>
      </c>
      <c r="P22" s="3">
        <f t="shared" si="0"/>
        <v>11655026.969816402</v>
      </c>
    </row>
    <row r="23" spans="2:18">
      <c r="B23" cm="1">
        <f t="array" ref="B23">IFERROR(_xlfn.XLOOKUP(C23,COA[[#All],[Nama Akun]],COA[[#All],[COA]]),"")</f>
        <v>4101</v>
      </c>
      <c r="C23" t="str">
        <v>Penjualan Produk Garment</v>
      </c>
      <c r="D23" s="153">
        <f>Transaksi!E158</f>
        <v>33046205.454545453</v>
      </c>
      <c r="J23" s="1" cm="1">
        <f t="array" ref="J23">_xlfn.IFS(OR(LEFT(B23,1)="1",LEFT(B23,1)="5"),SUMIF('Transaksi (2)'!$C$8:$C$37,'Neraca Saldo'!C23,'Transaksi (2)'!$E$8:$E$37)-SUMIF('Transaksi (2)'!$C$8:$C$37,"   "&amp;'Neraca Saldo'!C23,'Transaksi (2)'!$F$8:$F$37),OR(LEFT(B23,1)="2",LEFT(B23,1)="3",LEFT(B23,1)="4"),SUMIF('Transaksi (2)'!$C$8:$C$37,"   "&amp;'Neraca Saldo'!C23,'Transaksi (2)'!$F$8:$F$37)-SUMIF('Transaksi (2)'!$C$8:$C$37,'Neraca Saldo'!C23,'Transaksi (2)'!$E$8:$E$37))</f>
        <v>6925000</v>
      </c>
      <c r="P23" s="3">
        <f t="shared" si="0"/>
        <v>39971205.454545453</v>
      </c>
    </row>
    <row r="24" spans="2:18">
      <c r="B24" cm="1">
        <f t="array" ref="B24">IFERROR(_xlfn.XLOOKUP(C24,COA[[#All],[Nama Akun]],COA[[#All],[COA]]),"")</f>
        <v>4102</v>
      </c>
      <c r="C24" t="str">
        <v>Retur Penjualan</v>
      </c>
      <c r="D24" s="153">
        <f>-Transaksi!F155</f>
        <v>-1880388.888888889</v>
      </c>
      <c r="J24" s="1" cm="1">
        <f t="array" ref="J24">_xlfn.IFS(OR(LEFT(B24,1)="1",LEFT(B24,1)="5"),SUMIF('Transaksi (2)'!$C$8:$C$37,'Neraca Saldo'!C24,'Transaksi (2)'!$E$8:$E$37)-SUMIF('Transaksi (2)'!$C$8:$C$37,"   "&amp;'Neraca Saldo'!C24,'Transaksi (2)'!$F$8:$F$37),OR(LEFT(B24,1)="2",LEFT(B24,1)="3",LEFT(B24,1)="4"),SUMIF('Transaksi (2)'!$C$8:$C$37,"   "&amp;'Neraca Saldo'!C24,'Transaksi (2)'!$F$8:$F$37)-SUMIF('Transaksi (2)'!$C$8:$C$37,'Neraca Saldo'!C24,'Transaksi (2)'!$E$8:$E$37))</f>
        <v>0</v>
      </c>
      <c r="P24" s="3">
        <f t="shared" si="0"/>
        <v>-1880388.888888889</v>
      </c>
    </row>
    <row r="25" spans="2:18">
      <c r="B25" cm="1">
        <f t="array" ref="B25">IFERROR(_xlfn.XLOOKUP(C25,COA[[#All],[Nama Akun]],COA[[#All],[COA]]),"")</f>
        <v>4103</v>
      </c>
      <c r="C25" t="str">
        <v>Diskon Penjualan</v>
      </c>
      <c r="D25" s="153">
        <f>-Transaksi!F154</f>
        <v>-409963</v>
      </c>
      <c r="J25" s="1" cm="1">
        <f t="array" ref="J25">_xlfn.IFS(OR(LEFT(B25,1)="1",LEFT(B25,1)="5"),SUMIF('Transaksi (2)'!$C$8:$C$37,'Neraca Saldo'!C25,'Transaksi (2)'!$E$8:$E$37)-SUMIF('Transaksi (2)'!$C$8:$C$37,"   "&amp;'Neraca Saldo'!C25,'Transaksi (2)'!$F$8:$F$37),OR(LEFT(B25,1)="2",LEFT(B25,1)="3",LEFT(B25,1)="4"),SUMIF('Transaksi (2)'!$C$8:$C$37,"   "&amp;'Neraca Saldo'!C25,'Transaksi (2)'!$F$8:$F$37)-SUMIF('Transaksi (2)'!$C$8:$C$37,'Neraca Saldo'!C25,'Transaksi (2)'!$E$8:$E$37))</f>
        <v>-126750</v>
      </c>
      <c r="P25" s="3">
        <f t="shared" si="0"/>
        <v>-536713</v>
      </c>
    </row>
    <row r="26" spans="2:18">
      <c r="B26" cm="1">
        <f t="array" ref="B26">IFERROR(_xlfn.XLOOKUP(C26,COA[[#All],[Nama Akun]],COA[[#All],[COA]]),"")</f>
        <v>5102</v>
      </c>
      <c r="C26" t="str">
        <v>Beban Tenaga Kerja Langsung</v>
      </c>
      <c r="D26" s="153">
        <f>Transaksi!F151</f>
        <v>4200000</v>
      </c>
      <c r="J26" s="1" cm="1">
        <f t="array" ref="J26">_xlfn.IFS(OR(LEFT(B26,1)="1",LEFT(B26,1)="5"),SUMIF('Transaksi (2)'!$C$8:$C$37,'Neraca Saldo'!C26,'Transaksi (2)'!$E$8:$E$37)-SUMIF('Transaksi (2)'!$C$8:$C$37,"   "&amp;'Neraca Saldo'!C26,'Transaksi (2)'!$F$8:$F$37),OR(LEFT(B26,1)="2",LEFT(B26,1)="3",LEFT(B26,1)="4"),SUMIF('Transaksi (2)'!$C$8:$C$37,"   "&amp;'Neraca Saldo'!C26,'Transaksi (2)'!$F$8:$F$37)-SUMIF('Transaksi (2)'!$C$8:$C$37,'Neraca Saldo'!C26,'Transaksi (2)'!$E$8:$E$37))</f>
        <v>600000</v>
      </c>
      <c r="P26" s="3">
        <f t="shared" si="0"/>
        <v>4800000</v>
      </c>
    </row>
    <row r="27" spans="2:18" ht="15.75" thickBot="1">
      <c r="B27" cm="1">
        <f t="array" ref="B27">IFERROR(_xlfn.XLOOKUP(C27,COA[[#All],[Nama Akun]],COA[[#All],[COA]]),"")</f>
        <v>5104</v>
      </c>
      <c r="C27" t="str">
        <v>Beban Utilitas</v>
      </c>
      <c r="D27" s="153">
        <f>Transaksi!F152</f>
        <v>770000</v>
      </c>
      <c r="F27" s="54" cm="1">
        <f t="array" ref="F27">SUMPRODUCT((LEFT(B8:B100&amp;"",1)="2")*(D8:D100))</f>
        <v>12306109.849494949</v>
      </c>
      <c r="G27" s="186">
        <f>F19-F27</f>
        <v>29655026.969816402</v>
      </c>
      <c r="J27" s="1" cm="1">
        <f t="array" ref="J27">_xlfn.IFS(OR(LEFT(B27,1)="1",LEFT(B27,1)="5"),SUMIF('Transaksi (2)'!$C$8:$C$37,'Neraca Saldo'!C27,'Transaksi (2)'!$E$8:$E$37)-SUMIF('Transaksi (2)'!$C$8:$C$37,"   "&amp;'Neraca Saldo'!C27,'Transaksi (2)'!$F$8:$F$37),OR(LEFT(B27,1)="2",LEFT(B27,1)="3",LEFT(B27,1)="4"),SUMIF('Transaksi (2)'!$C$8:$C$37,"   "&amp;'Neraca Saldo'!C27,'Transaksi (2)'!$F$8:$F$37)-SUMIF('Transaksi (2)'!$C$8:$C$37,'Neraca Saldo'!C27,'Transaksi (2)'!$E$8:$E$37))</f>
        <v>110000</v>
      </c>
      <c r="K27" s="54" cm="1">
        <f t="array" ref="K27">SUMPRODUCT((LEFT(B8:B100&amp;"",1)="2")*(J8:J100))</f>
        <v>5902194</v>
      </c>
      <c r="L27" s="186">
        <f>K19-K27</f>
        <v>8684063.5484396517</v>
      </c>
      <c r="P27" s="3">
        <f t="shared" si="0"/>
        <v>880000</v>
      </c>
      <c r="Q27" s="54" cm="1">
        <f t="array" ref="Q27">SUMPRODUCT((LEFT(B8:B100&amp;"",1)="2")*(P8:P100))</f>
        <v>18208303.849494949</v>
      </c>
      <c r="R27" s="186">
        <f>Q19-Q27</f>
        <v>38339090.518256053</v>
      </c>
    </row>
    <row r="28" spans="2:18" ht="15.75" thickTop="1">
      <c r="B28" cm="1">
        <f t="array" ref="B28">IFERROR(_xlfn.XLOOKUP(C28,COA[[#All],[Nama Akun]],COA[[#All],[COA]]),"")</f>
        <v>5105</v>
      </c>
      <c r="C28" t="str">
        <v>Beban Penyusutan</v>
      </c>
      <c r="D28" s="153">
        <f>Transaksi!F156</f>
        <v>400000</v>
      </c>
      <c r="J28" s="1" cm="1">
        <f t="array" ref="J28">_xlfn.IFS(OR(LEFT(B28,1)="1",LEFT(B28,1)="5"),SUMIF('Transaksi (2)'!$C$8:$C$37,'Neraca Saldo'!C28,'Transaksi (2)'!$E$8:$E$37)-SUMIF('Transaksi (2)'!$C$8:$C$37,"   "&amp;'Neraca Saldo'!C28,'Transaksi (2)'!$F$8:$F$37),OR(LEFT(B28,1)="2",LEFT(B28,1)="3",LEFT(B28,1)="4"),SUMIF('Transaksi (2)'!$C$8:$C$37,"   "&amp;'Neraca Saldo'!C28,'Transaksi (2)'!$F$8:$F$37)-SUMIF('Transaksi (2)'!$C$8:$C$37,'Neraca Saldo'!C28,'Transaksi (2)'!$E$8:$E$37))</f>
        <v>0</v>
      </c>
      <c r="P28" s="3">
        <f t="shared" si="0"/>
        <v>400000</v>
      </c>
    </row>
    <row r="29" spans="2:18">
      <c r="B29" cm="1">
        <f t="array" ref="B29">IFERROR(_xlfn.XLOOKUP(C29,COA[[#All],[Nama Akun]],COA[[#All],[COA]]),"")</f>
        <v>5109</v>
      </c>
      <c r="C29" t="str">
        <v>Beban Pokok Penjualan</v>
      </c>
      <c r="D29" s="153">
        <f>Transaksi!F153</f>
        <v>13565595.568567436</v>
      </c>
      <c r="J29" s="1" cm="1">
        <f t="array" ref="J29">_xlfn.IFS(OR(LEFT(B29,1)="1",LEFT(B29,1)="5"),SUMIF('Transaksi (2)'!$C$8:$C$37,'Neraca Saldo'!C29,'Transaksi (2)'!$E$8:$E$37)-SUMIF('Transaksi (2)'!$C$8:$C$37,"   "&amp;'Neraca Saldo'!C29,'Transaksi (2)'!$F$8:$F$37),OR(LEFT(B29,1)="2",LEFT(B29,1)="3",LEFT(B29,1)="4"),SUMIF('Transaksi (2)'!$C$8:$C$37,"   "&amp;'Neraca Saldo'!C29,'Transaksi (2)'!$F$8:$F$37)-SUMIF('Transaksi (2)'!$C$8:$C$37,'Neraca Saldo'!C29,'Transaksi (2)'!$E$8:$E$37))</f>
        <v>4230000</v>
      </c>
      <c r="P29" s="3">
        <f t="shared" si="0"/>
        <v>17795595.568567436</v>
      </c>
    </row>
    <row r="30" spans="2:18">
      <c r="B30" cm="1">
        <f t="array" ref="B30">IFERROR(_xlfn.XLOOKUP(C30,COA[[#All],[Nama Akun]],COA[[#All],[COA]]),"")</f>
        <v>5112</v>
      </c>
      <c r="C30" t="str">
        <v>Beban Pph Badan</v>
      </c>
      <c r="D30" s="153">
        <f>Transaksi!F157</f>
        <v>165231.02727272728</v>
      </c>
      <c r="J30" s="1" cm="1">
        <f t="array" ref="J30">_xlfn.IFS(OR(LEFT(B30,1)="1",LEFT(B30,1)="5"),SUMIF('Transaksi (2)'!$C$8:$C$37,'Neraca Saldo'!C30,'Transaksi (2)'!$E$8:$E$37)-SUMIF('Transaksi (2)'!$C$8:$C$37,"   "&amp;'Neraca Saldo'!C30,'Transaksi (2)'!$F$8:$F$37),OR(LEFT(B30,1)="2",LEFT(B30,1)="3",LEFT(B30,1)="4"),SUMIF('Transaksi (2)'!$C$8:$C$37,"   "&amp;'Neraca Saldo'!C30,'Transaksi (2)'!$F$8:$F$37)-SUMIF('Transaksi (2)'!$C$8:$C$37,'Neraca Saldo'!C30,'Transaksi (2)'!$E$8:$E$37))</f>
        <v>0</v>
      </c>
      <c r="P30" s="3">
        <f t="shared" si="0"/>
        <v>165231.02727272728</v>
      </c>
    </row>
    <row r="31" spans="2:18">
      <c r="B31" cm="1">
        <f t="array" ref="B31">IFERROR(_xlfn.XLOOKUP(C31,COA[[#All],[Nama Akun]],COA[[#All],[COA]]),"")</f>
        <v>5999</v>
      </c>
      <c r="C31" t="str">
        <v>Ikhtisar Laba Rugi</v>
      </c>
      <c r="D31" s="153" cm="1">
        <f t="array" ref="D31">IFERROR(_xlfn.IFS(OR(LEFT(B31,1)="1",LEFT(B31,1)="5"),SUMIF(Transaksi[[#All],[Keterangan]],'Neraca Saldo'!C31,Transaksi[[#All],[Debit]])-SUMIF(Transaksi[[#All],[Keterangan]],"   "&amp;'Neraca Saldo'!C31,Transaksi[[#All],[Kredit]]),OR(LEFT(B31,1)="2",LEFT(B31,1)="3",LEFT(B31,1)="4"),SUMIF(Transaksi[[#All],[Keterangan]],"   "&amp;'Neraca Saldo'!C31,Transaksi[[#All],[Kredit]])-SUMIF(Transaksi[[#All],[Keterangan]],'Neraca Saldo'!C31,Transaksi[[#All],[Debit]])),"")</f>
        <v>0</v>
      </c>
      <c r="J31" s="1" cm="1">
        <f t="array" ref="J31">_xlfn.IFS(OR(LEFT(B31,1)="1",LEFT(B31,1)="5"),SUMIF('Transaksi (2)'!$C$8:$C$37,'Neraca Saldo'!C31,'Transaksi (2)'!$E$8:$E$37)-SUMIF('Transaksi (2)'!$C$8:$C$37,"   "&amp;'Neraca Saldo'!C31,'Transaksi (2)'!$F$8:$F$37),OR(LEFT(B31,1)="2",LEFT(B31,1)="3",LEFT(B31,1)="4"),SUMIF('Transaksi (2)'!$C$8:$C$37,"   "&amp;'Neraca Saldo'!C31,'Transaksi (2)'!$F$8:$F$37)-SUMIF('Transaksi (2)'!$C$8:$C$37,'Neraca Saldo'!C31,'Transaksi (2)'!$E$8:$E$37))</f>
        <v>0</v>
      </c>
      <c r="P31" s="3">
        <f t="shared" si="0"/>
        <v>0</v>
      </c>
    </row>
    <row r="32" spans="2:18" ht="15.75" thickBot="1">
      <c r="B32" t="str" cm="1">
        <f t="array" ref="B32">IFERROR(_xlfn.XLOOKUP(C32,COA[[#All],[Nama Akun]],COA[[#All],[COA]]),"")</f>
        <v/>
      </c>
      <c r="D32" s="153"/>
      <c r="F32" s="54" cm="1">
        <f t="array" ref="F32">SUMPRODUCT((LEFT(B8:B100&amp;"",1)="3")*(D8:D100))</f>
        <v>29655026.969816402</v>
      </c>
      <c r="G32" s="186">
        <f>F32</f>
        <v>29655026.969816402</v>
      </c>
      <c r="J32" s="1"/>
      <c r="K32" s="54" cm="1">
        <f t="array" ref="K32">SUMPRODUCT((LEFT(B8:B100&amp;"",1)="3")*(J8:J100))</f>
        <v>0</v>
      </c>
      <c r="L32" s="186">
        <f>K32</f>
        <v>0</v>
      </c>
      <c r="P32" s="3">
        <f t="shared" si="0"/>
        <v>0</v>
      </c>
      <c r="Q32" s="54" cm="1">
        <f t="array" ref="Q32">SUMPRODUCT((LEFT(B8:B100&amp;"",1)="3")*(P8:P100))</f>
        <v>29655026.969816402</v>
      </c>
      <c r="R32" s="186">
        <f>Q32</f>
        <v>29655026.969816402</v>
      </c>
    </row>
    <row r="33" spans="2:18" ht="15.75" thickTop="1">
      <c r="B33" t="str" cm="1">
        <f t="array" ref="B33">IFERROR(_xlfn.XLOOKUP(C33,COA[[#All],[Nama Akun]],COA[[#All],[COA]]),"")</f>
        <v/>
      </c>
      <c r="D33" s="153"/>
      <c r="G33" s="3">
        <f>G27-G32</f>
        <v>0</v>
      </c>
      <c r="J33" s="1"/>
      <c r="L33" s="3">
        <f>L27-L32</f>
        <v>8684063.5484396517</v>
      </c>
      <c r="P33" s="3">
        <f t="shared" si="0"/>
        <v>0</v>
      </c>
      <c r="R33" s="3">
        <f>R27-R32</f>
        <v>8684063.5484396517</v>
      </c>
    </row>
    <row r="34" spans="2:18">
      <c r="B34" t="str" cm="1">
        <f t="array" ref="B34">IFERROR(_xlfn.XLOOKUP(C34,COA[[#All],[Nama Akun]],COA[[#All],[COA]]),"")</f>
        <v/>
      </c>
      <c r="D34" s="153"/>
      <c r="J34" s="1"/>
      <c r="P34" s="3">
        <f t="shared" si="0"/>
        <v>0</v>
      </c>
    </row>
    <row r="35" spans="2:18">
      <c r="B35" t="str" cm="1">
        <f t="array" ref="B35">IFERROR(_xlfn.XLOOKUP(C35,COA[[#All],[Nama Akun]],COA[[#All],[COA]]),"")</f>
        <v/>
      </c>
      <c r="D35" s="153"/>
      <c r="J35" s="1"/>
      <c r="P35" s="3">
        <f t="shared" si="0"/>
        <v>0</v>
      </c>
    </row>
    <row r="36" spans="2:18">
      <c r="B36" t="str" cm="1">
        <f t="array" ref="B36">IFERROR(_xlfn.XLOOKUP(C36,COA[[#All],[Nama Akun]],COA[[#All],[COA]]),"")</f>
        <v/>
      </c>
      <c r="D36" s="153"/>
      <c r="F36" s="54" cm="1">
        <f t="array" ref="F36">SUMPRODUCT((LEFT(B8:B100&amp;"",1)="4")*(D8:D100))</f>
        <v>30755853.565656565</v>
      </c>
      <c r="J36" s="1"/>
      <c r="K36" s="54" cm="1">
        <f t="array" ref="K36">SUMPRODUCT((LEFT(B8:B100&amp;"",1)="4")*(J8:J100))</f>
        <v>6798250</v>
      </c>
      <c r="P36" s="3">
        <f>D36+J36</f>
        <v>0</v>
      </c>
      <c r="Q36" s="54" cm="1">
        <f t="array" ref="Q36">SUMPRODUCT((LEFT(B8:B100&amp;"",1)="4")*(P8:P100))</f>
        <v>37554103.565656565</v>
      </c>
    </row>
    <row r="37" spans="2:18">
      <c r="B37" t="str" cm="1">
        <f t="array" ref="B37">IFERROR(_xlfn.XLOOKUP(C37,COA[[#All],[Nama Akun]],COA[[#All],[COA]]),"")</f>
        <v/>
      </c>
      <c r="D37" s="153"/>
      <c r="F37" s="3"/>
      <c r="J37" s="1"/>
      <c r="P37" s="3">
        <f t="shared" si="0"/>
        <v>0</v>
      </c>
    </row>
    <row r="38" spans="2:18">
      <c r="B38" t="str" cm="1">
        <f t="array" ref="B38">IFERROR(_xlfn.XLOOKUP(C38,COA[[#All],[Nama Akun]],COA[[#All],[COA]]),"")</f>
        <v/>
      </c>
      <c r="D38" s="153"/>
      <c r="J38" s="1"/>
      <c r="P38" s="3">
        <f t="shared" si="0"/>
        <v>0</v>
      </c>
    </row>
    <row r="39" spans="2:18">
      <c r="B39" t="str" cm="1">
        <f t="array" ref="B39">IFERROR(_xlfn.XLOOKUP(C39,COA[[#All],[Nama Akun]],COA[[#All],[COA]]),"")</f>
        <v/>
      </c>
      <c r="D39" s="153"/>
      <c r="H39" s="3">
        <f>G48-G33</f>
        <v>11655026.969816402</v>
      </c>
      <c r="J39" s="1"/>
      <c r="P39" s="3">
        <f t="shared" si="0"/>
        <v>0</v>
      </c>
    </row>
    <row r="40" spans="2:18">
      <c r="B40" t="str" cm="1">
        <f t="array" ref="B40">IFERROR(_xlfn.XLOOKUP(C40,COA[[#All],[Nama Akun]],COA[[#All],[COA]]),"")</f>
        <v/>
      </c>
      <c r="D40" s="153"/>
      <c r="J40" s="1"/>
      <c r="P40" s="3">
        <f t="shared" si="0"/>
        <v>0</v>
      </c>
    </row>
    <row r="41" spans="2:18">
      <c r="B41" t="str" cm="1">
        <f t="array" ref="B41">IFERROR(_xlfn.XLOOKUP(C41,COA[[#All],[Nama Akun]],COA[[#All],[COA]]),"")</f>
        <v/>
      </c>
      <c r="D41" s="153"/>
      <c r="J41" s="1"/>
      <c r="P41" s="3">
        <f t="shared" si="0"/>
        <v>0</v>
      </c>
    </row>
    <row r="42" spans="2:18">
      <c r="B42" t="str" cm="1">
        <f t="array" ref="B42">IFERROR(_xlfn.XLOOKUP(C42,COA[[#All],[Nama Akun]],COA[[#All],[COA]]),"")</f>
        <v/>
      </c>
      <c r="D42" s="153"/>
      <c r="J42" s="1"/>
      <c r="P42" s="3">
        <f t="shared" si="0"/>
        <v>0</v>
      </c>
    </row>
    <row r="43" spans="2:18">
      <c r="B43" t="str" cm="1">
        <f t="array" ref="B43">IFERROR(_xlfn.XLOOKUP(C43,COA[[#All],[Nama Akun]],COA[[#All],[COA]]),"")</f>
        <v/>
      </c>
      <c r="D43" s="153"/>
      <c r="J43" s="1"/>
      <c r="P43" s="3">
        <f t="shared" si="0"/>
        <v>0</v>
      </c>
    </row>
    <row r="44" spans="2:18">
      <c r="B44" t="str" cm="1">
        <f t="array" ref="B44">IFERROR(_xlfn.XLOOKUP(C44,COA[[#All],[Nama Akun]],COA[[#All],[COA]]),"")</f>
        <v/>
      </c>
      <c r="D44" s="153"/>
      <c r="J44" s="1"/>
      <c r="P44" s="3">
        <f t="shared" si="0"/>
        <v>0</v>
      </c>
    </row>
    <row r="45" spans="2:18">
      <c r="B45" t="str" cm="1">
        <f t="array" ref="B45">IFERROR(_xlfn.XLOOKUP(C45,COA[[#All],[Nama Akun]],COA[[#All],[COA]]),"")</f>
        <v/>
      </c>
      <c r="D45" s="153"/>
      <c r="J45" s="1"/>
      <c r="P45" s="3">
        <f t="shared" si="0"/>
        <v>0</v>
      </c>
    </row>
    <row r="46" spans="2:18">
      <c r="B46" t="str" cm="1">
        <f t="array" ref="B46">IFERROR(_xlfn.XLOOKUP(C46,COA[[#All],[Nama Akun]],COA[[#All],[COA]]),"")</f>
        <v/>
      </c>
      <c r="D46" s="153"/>
      <c r="J46" s="1"/>
      <c r="P46" s="3">
        <f t="shared" si="0"/>
        <v>0</v>
      </c>
    </row>
    <row r="47" spans="2:18">
      <c r="B47" t="str" cm="1">
        <f t="array" ref="B47">IFERROR(_xlfn.XLOOKUP(C47,COA[[#All],[Nama Akun]],COA[[#All],[COA]]),"")</f>
        <v/>
      </c>
      <c r="D47" s="153"/>
      <c r="J47" s="1"/>
      <c r="P47" s="3">
        <f t="shared" si="0"/>
        <v>0</v>
      </c>
    </row>
    <row r="48" spans="2:18">
      <c r="B48" t="str" cm="1">
        <f t="array" ref="B48">IFERROR(_xlfn.XLOOKUP(C48,COA[[#All],[Nama Akun]],COA[[#All],[COA]]),"")</f>
        <v/>
      </c>
      <c r="D48" s="153"/>
      <c r="F48" s="54" cm="1">
        <f t="array" ref="F48">SUMPRODUCT((LEFT(B8:B100&amp;"",1)="5")*(D8:D100))</f>
        <v>19100826.595840164</v>
      </c>
      <c r="G48" s="3">
        <f>F36-F48</f>
        <v>11655026.969816402</v>
      </c>
      <c r="J48" s="1"/>
      <c r="K48" s="54"/>
      <c r="P48" s="3">
        <f t="shared" si="0"/>
        <v>0</v>
      </c>
      <c r="Q48" s="54"/>
    </row>
    <row r="49" spans="2:18">
      <c r="B49" t="str" cm="1">
        <f t="array" ref="B49">IFERROR(_xlfn.XLOOKUP(C49,COA[[#All],[Nama Akun]],COA[[#All],[COA]]),"")</f>
        <v/>
      </c>
      <c r="D49" s="153"/>
      <c r="J49" s="1"/>
      <c r="K49" s="3" cm="1">
        <f t="array" ref="K49">SUMPRODUCT((LEFT(B8:B100&amp;"",1)="5")*(J8:J100))</f>
        <v>4940000</v>
      </c>
      <c r="L49" s="3">
        <f>K36-K49</f>
        <v>1858250</v>
      </c>
      <c r="P49" s="3">
        <f t="shared" si="0"/>
        <v>0</v>
      </c>
      <c r="Q49" s="3" cm="1">
        <f t="array" ref="Q49">SUMPRODUCT((LEFT(B8:B100&amp;"",1)="5")*(P8:P100))</f>
        <v>24040826.595840164</v>
      </c>
      <c r="R49" s="3">
        <f>Q36-Q49</f>
        <v>13513276.969816402</v>
      </c>
    </row>
    <row r="50" spans="2:18">
      <c r="B50" t="str" cm="1">
        <f t="array" ref="B50">IFERROR(_xlfn.XLOOKUP(C50,COA[[#All],[Nama Akun]],COA[[#All],[COA]]),"")</f>
        <v/>
      </c>
      <c r="D50" s="153"/>
      <c r="J50" s="1"/>
      <c r="P50" s="3">
        <f t="shared" si="0"/>
        <v>0</v>
      </c>
    </row>
    <row r="51" spans="2:18">
      <c r="B51" t="str" cm="1">
        <f t="array" ref="B51">IFERROR(_xlfn.XLOOKUP(C51,COA[[#All],[Nama Akun]],COA[[#All],[COA]]),"")</f>
        <v/>
      </c>
      <c r="D51" s="153"/>
      <c r="J51" s="1"/>
      <c r="P51" s="3">
        <f t="shared" si="0"/>
        <v>0</v>
      </c>
    </row>
    <row r="52" spans="2:18">
      <c r="B52" t="str" cm="1">
        <f t="array" ref="B52">IFERROR(_xlfn.XLOOKUP(C52,COA[[#All],[Nama Akun]],COA[[#All],[COA]]),"")</f>
        <v/>
      </c>
      <c r="D52" s="153"/>
      <c r="J52" s="1"/>
      <c r="P52" s="3">
        <f t="shared" si="0"/>
        <v>0</v>
      </c>
    </row>
    <row r="53" spans="2:18">
      <c r="B53" t="str" cm="1">
        <f t="array" ref="B53">IFERROR(_xlfn.XLOOKUP(C53,COA[[#All],[Nama Akun]],COA[[#All],[COA]]),"")</f>
        <v/>
      </c>
      <c r="C53" s="2"/>
      <c r="D53" s="153"/>
      <c r="J53" s="1"/>
      <c r="P53" s="3">
        <f t="shared" si="0"/>
        <v>0</v>
      </c>
    </row>
    <row r="54" spans="2:18">
      <c r="B54" t="str" cm="1">
        <f t="array" ref="B54">IFERROR(_xlfn.XLOOKUP(C54,COA[[#All],[Nama Akun]],COA[[#All],[COA]]),"")</f>
        <v/>
      </c>
      <c r="D54" s="153"/>
      <c r="J54" s="1"/>
      <c r="P54" s="3">
        <f t="shared" si="0"/>
        <v>0</v>
      </c>
    </row>
    <row r="55" spans="2:18">
      <c r="B55" t="str" cm="1">
        <f t="array" ref="B55">IFERROR(_xlfn.XLOOKUP(C55,COA[[#All],[Nama Akun]],COA[[#All],[COA]]),"")</f>
        <v/>
      </c>
      <c r="D55" s="153"/>
      <c r="J55" s="1"/>
      <c r="P55" s="3">
        <f t="shared" si="0"/>
        <v>0</v>
      </c>
    </row>
    <row r="56" spans="2:18">
      <c r="B56" t="str" cm="1">
        <f t="array" ref="B56">IFERROR(_xlfn.XLOOKUP(C56,COA[[#All],[Nama Akun]],COA[[#All],[COA]]),"")</f>
        <v/>
      </c>
      <c r="D56" s="153"/>
      <c r="J56" s="1"/>
      <c r="P56" s="3"/>
    </row>
    <row r="57" spans="2:18">
      <c r="B57" t="str" cm="1">
        <f t="array" ref="B57">IFERROR(_xlfn.XLOOKUP(C57,COA[[#All],[Nama Akun]],COA[[#All],[COA]]),"")</f>
        <v/>
      </c>
      <c r="D57" s="153"/>
    </row>
    <row r="58" spans="2:18">
      <c r="B58" t="str" cm="1">
        <f t="array" ref="B58">IFERROR(_xlfn.XLOOKUP(C58,COA[[#All],[Nama Akun]],COA[[#All],[COA]]),"")</f>
        <v/>
      </c>
      <c r="D58" s="153"/>
    </row>
    <row r="59" spans="2:18">
      <c r="B59" t="str" cm="1">
        <f t="array" ref="B59">IFERROR(_xlfn.XLOOKUP(C59,COA[[#All],[Nama Akun]],COA[[#All],[COA]]),"")</f>
        <v/>
      </c>
      <c r="D59" s="153"/>
    </row>
    <row r="60" spans="2:18">
      <c r="B60" t="str" cm="1">
        <f t="array" ref="B60">IFERROR(_xlfn.XLOOKUP(C60,COA[[#All],[Nama Akun]],COA[[#All],[COA]]),"")</f>
        <v/>
      </c>
      <c r="D60" s="108"/>
    </row>
    <row r="61" spans="2:18">
      <c r="B61" t="str" cm="1">
        <f t="array" ref="B61">IFERROR(_xlfn.XLOOKUP(C61,COA[[#All],[Nama Akun]],COA[[#All],[COA]]),"")</f>
        <v/>
      </c>
      <c r="D61" s="108"/>
    </row>
    <row r="62" spans="2:18">
      <c r="B62" t="str" cm="1">
        <f t="array" ref="B62">IFERROR(_xlfn.XLOOKUP(C62,COA[[#All],[Nama Akun]],COA[[#All],[COA]]),"")</f>
        <v/>
      </c>
      <c r="D62" s="108"/>
    </row>
    <row r="63" spans="2:18">
      <c r="B63" t="str" cm="1">
        <f t="array" ref="B63">IFERROR(_xlfn.XLOOKUP(C63,COA[[#All],[Nama Akun]],COA[[#All],[COA]]),"")</f>
        <v/>
      </c>
      <c r="D63" s="108"/>
    </row>
    <row r="64" spans="2:18">
      <c r="B64" t="str" cm="1">
        <f t="array" ref="B64">IFERROR(_xlfn.XLOOKUP(C64,COA[[#All],[Nama Akun]],COA[[#All],[COA]]),"")</f>
        <v/>
      </c>
      <c r="D64" s="108"/>
    </row>
    <row r="65" spans="2:4">
      <c r="B65" t="str" cm="1">
        <f t="array" ref="B65">IFERROR(_xlfn.XLOOKUP(C65,COA[[#All],[Nama Akun]],COA[[#All],[COA]]),"")</f>
        <v/>
      </c>
      <c r="D65" s="108"/>
    </row>
    <row r="66" spans="2:4">
      <c r="B66" t="str" cm="1">
        <f t="array" ref="B66">IFERROR(_xlfn.XLOOKUP(C66,COA[[#All],[Nama Akun]],COA[[#All],[COA]]),"")</f>
        <v/>
      </c>
      <c r="D66" s="108"/>
    </row>
    <row r="67" spans="2:4">
      <c r="B67" t="str" cm="1">
        <f t="array" ref="B67">IFERROR(_xlfn.XLOOKUP(C67,COA[[#All],[Nama Akun]],COA[[#All],[COA]]),"")</f>
        <v/>
      </c>
      <c r="D67" s="108"/>
    </row>
    <row r="68" spans="2:4">
      <c r="B68" t="str" cm="1">
        <f t="array" ref="B68">IFERROR(_xlfn.XLOOKUP(C68,COA[[#All],[Nama Akun]],COA[[#All],[COA]]),"")</f>
        <v/>
      </c>
      <c r="D68" s="108"/>
    </row>
    <row r="69" spans="2:4">
      <c r="D69" s="108"/>
    </row>
    <row r="70" spans="2:4">
      <c r="D70" s="108"/>
    </row>
    <row r="71" spans="2:4">
      <c r="D71" s="108"/>
    </row>
    <row r="72" spans="2:4">
      <c r="D72" s="108"/>
    </row>
    <row r="73" spans="2:4">
      <c r="D73" s="108"/>
    </row>
    <row r="74" spans="2:4">
      <c r="D74" s="108"/>
    </row>
    <row r="75" spans="2:4">
      <c r="D75" s="108"/>
    </row>
    <row r="76" spans="2:4">
      <c r="D76" s="108"/>
    </row>
    <row r="77" spans="2:4">
      <c r="D77" s="108"/>
    </row>
    <row r="78" spans="2:4">
      <c r="D78" s="108"/>
    </row>
    <row r="79" spans="2:4">
      <c r="D79" s="108"/>
    </row>
    <row r="80" spans="2:4">
      <c r="D80" s="108"/>
    </row>
    <row r="81" spans="4:4">
      <c r="D81" s="108"/>
    </row>
    <row r="82" spans="4:4">
      <c r="D82" s="108"/>
    </row>
    <row r="83" spans="4:4">
      <c r="D83" s="108"/>
    </row>
    <row r="84" spans="4:4">
      <c r="D84" s="108"/>
    </row>
    <row r="85" spans="4:4">
      <c r="D85" s="108"/>
    </row>
    <row r="86" spans="4:4">
      <c r="D86" s="108"/>
    </row>
    <row r="87" spans="4:4">
      <c r="D87" s="108"/>
    </row>
    <row r="88" spans="4:4">
      <c r="D88" s="108"/>
    </row>
    <row r="89" spans="4:4">
      <c r="D89" s="108"/>
    </row>
    <row r="90" spans="4:4">
      <c r="D90" s="108"/>
    </row>
    <row r="91" spans="4:4">
      <c r="D91" s="108"/>
    </row>
    <row r="92" spans="4:4">
      <c r="D92" s="108"/>
    </row>
    <row r="93" spans="4:4">
      <c r="D93" s="108"/>
    </row>
    <row r="94" spans="4:4">
      <c r="D94" s="108"/>
    </row>
    <row r="95" spans="4:4">
      <c r="D95" s="108"/>
    </row>
    <row r="96" spans="4:4">
      <c r="D96" s="108"/>
    </row>
    <row r="97" spans="4:4">
      <c r="D97" s="108"/>
    </row>
    <row r="98" spans="4:4">
      <c r="D98" s="108"/>
    </row>
    <row r="99" spans="4:4">
      <c r="D99" s="108"/>
    </row>
    <row r="100" spans="4:4">
      <c r="D100" s="108"/>
    </row>
    <row r="101" spans="4:4">
      <c r="D101" s="108"/>
    </row>
    <row r="102" spans="4:4">
      <c r="D102" s="108"/>
    </row>
    <row r="103" spans="4:4">
      <c r="D103" s="108"/>
    </row>
    <row r="104" spans="4:4">
      <c r="D104" s="108"/>
    </row>
    <row r="105" spans="4:4">
      <c r="D105" s="108"/>
    </row>
    <row r="106" spans="4:4">
      <c r="D106" s="108"/>
    </row>
    <row r="107" spans="4:4">
      <c r="D107" s="108"/>
    </row>
    <row r="108" spans="4:4">
      <c r="D108" s="108"/>
    </row>
    <row r="109" spans="4:4">
      <c r="D109" s="108"/>
    </row>
    <row r="110" spans="4:4">
      <c r="D110" s="108"/>
    </row>
    <row r="111" spans="4:4">
      <c r="D111" s="108"/>
    </row>
    <row r="112" spans="4:4">
      <c r="D112" s="108"/>
    </row>
    <row r="113" spans="4:4">
      <c r="D113" s="108"/>
    </row>
    <row r="114" spans="4:4">
      <c r="D114" s="108"/>
    </row>
    <row r="115" spans="4:4">
      <c r="D115" s="108"/>
    </row>
    <row r="116" spans="4:4">
      <c r="D116" s="108"/>
    </row>
    <row r="117" spans="4:4">
      <c r="D117" s="108"/>
    </row>
    <row r="118" spans="4:4">
      <c r="D118" s="108"/>
    </row>
    <row r="119" spans="4:4">
      <c r="D119" s="108"/>
    </row>
    <row r="120" spans="4:4">
      <c r="D120" s="108"/>
    </row>
    <row r="121" spans="4:4">
      <c r="D121" s="108"/>
    </row>
    <row r="122" spans="4:4">
      <c r="D122" s="108"/>
    </row>
    <row r="123" spans="4:4">
      <c r="D123" s="108"/>
    </row>
    <row r="124" spans="4:4">
      <c r="D124" s="108"/>
    </row>
    <row r="125" spans="4:4">
      <c r="D125" s="108"/>
    </row>
    <row r="126" spans="4:4">
      <c r="D126" s="108"/>
    </row>
    <row r="127" spans="4:4">
      <c r="D127" s="108"/>
    </row>
    <row r="128" spans="4:4">
      <c r="D128" s="108"/>
    </row>
    <row r="129" spans="4:4">
      <c r="D129" s="108"/>
    </row>
    <row r="130" spans="4:4">
      <c r="D130" s="108"/>
    </row>
    <row r="131" spans="4:4">
      <c r="D131" s="108"/>
    </row>
    <row r="132" spans="4:4">
      <c r="D132" s="108"/>
    </row>
    <row r="133" spans="4:4">
      <c r="D133" s="108"/>
    </row>
    <row r="134" spans="4:4">
      <c r="D134" s="108"/>
    </row>
    <row r="135" spans="4:4">
      <c r="D135" s="108"/>
    </row>
    <row r="136" spans="4:4">
      <c r="D136" s="108"/>
    </row>
    <row r="137" spans="4:4">
      <c r="D137" s="108"/>
    </row>
    <row r="138" spans="4:4">
      <c r="D138" s="108"/>
    </row>
    <row r="139" spans="4:4">
      <c r="D139" s="108"/>
    </row>
    <row r="140" spans="4:4">
      <c r="D140" s="108"/>
    </row>
    <row r="141" spans="4:4">
      <c r="D141" s="108"/>
    </row>
    <row r="142" spans="4:4">
      <c r="D142" s="108"/>
    </row>
    <row r="143" spans="4:4">
      <c r="D143" s="108"/>
    </row>
    <row r="144" spans="4:4">
      <c r="D144" s="108"/>
    </row>
    <row r="145" spans="4:4">
      <c r="D145" s="108"/>
    </row>
    <row r="146" spans="4:4">
      <c r="D146" s="108"/>
    </row>
    <row r="147" spans="4:4">
      <c r="D147" s="108"/>
    </row>
    <row r="148" spans="4:4">
      <c r="D148" s="108"/>
    </row>
    <row r="149" spans="4:4">
      <c r="D149" s="108"/>
    </row>
    <row r="150" spans="4:4">
      <c r="D150" s="108"/>
    </row>
    <row r="151" spans="4:4">
      <c r="D151" s="108"/>
    </row>
    <row r="152" spans="4:4">
      <c r="D152" s="108"/>
    </row>
    <row r="153" spans="4:4">
      <c r="D153" s="108"/>
    </row>
    <row r="154" spans="4:4">
      <c r="D154" s="108"/>
    </row>
    <row r="155" spans="4:4">
      <c r="D155" s="108"/>
    </row>
    <row r="156" spans="4:4">
      <c r="D156" s="108"/>
    </row>
    <row r="157" spans="4:4">
      <c r="D157" s="108"/>
    </row>
    <row r="158" spans="4:4">
      <c r="D158" s="108"/>
    </row>
    <row r="159" spans="4:4">
      <c r="D159" s="108"/>
    </row>
    <row r="160" spans="4:4">
      <c r="D160" s="108"/>
    </row>
    <row r="161" spans="4:4">
      <c r="D161" s="108"/>
    </row>
    <row r="162" spans="4:4">
      <c r="D162" s="108"/>
    </row>
    <row r="163" spans="4:4">
      <c r="D163" s="108"/>
    </row>
    <row r="164" spans="4:4">
      <c r="D164" s="108"/>
    </row>
    <row r="165" spans="4:4">
      <c r="D165" s="108"/>
    </row>
    <row r="166" spans="4:4">
      <c r="D166" s="108"/>
    </row>
    <row r="167" spans="4:4">
      <c r="D167" s="108"/>
    </row>
    <row r="168" spans="4:4">
      <c r="D168" s="108"/>
    </row>
    <row r="169" spans="4:4">
      <c r="D169" s="108"/>
    </row>
    <row r="170" spans="4:4">
      <c r="D170" s="108"/>
    </row>
    <row r="171" spans="4:4">
      <c r="D171" s="108"/>
    </row>
    <row r="172" spans="4:4">
      <c r="D172" s="108"/>
    </row>
    <row r="173" spans="4:4">
      <c r="D173" s="108"/>
    </row>
    <row r="174" spans="4:4">
      <c r="D174" s="108"/>
    </row>
    <row r="175" spans="4:4">
      <c r="D175" s="108"/>
    </row>
    <row r="176" spans="4:4">
      <c r="D176" s="108"/>
    </row>
    <row r="177" spans="4:4">
      <c r="D177" s="108"/>
    </row>
    <row r="178" spans="4:4">
      <c r="D178" s="108"/>
    </row>
    <row r="179" spans="4:4">
      <c r="D179" s="108"/>
    </row>
    <row r="180" spans="4:4">
      <c r="D180" s="108"/>
    </row>
    <row r="181" spans="4:4">
      <c r="D181" s="108"/>
    </row>
    <row r="182" spans="4:4">
      <c r="D182" s="108"/>
    </row>
    <row r="183" spans="4:4">
      <c r="D183" s="108"/>
    </row>
    <row r="184" spans="4:4">
      <c r="D184" s="108"/>
    </row>
    <row r="185" spans="4:4">
      <c r="D185" s="108"/>
    </row>
    <row r="186" spans="4:4">
      <c r="D186" s="108"/>
    </row>
    <row r="187" spans="4:4">
      <c r="D187" s="108"/>
    </row>
    <row r="188" spans="4:4">
      <c r="D188" s="108"/>
    </row>
    <row r="189" spans="4:4">
      <c r="D189" s="108"/>
    </row>
    <row r="190" spans="4:4">
      <c r="D190" s="108"/>
    </row>
    <row r="191" spans="4:4">
      <c r="D191" s="108"/>
    </row>
    <row r="192" spans="4:4">
      <c r="D192" s="108"/>
    </row>
    <row r="193" spans="4:4">
      <c r="D193" s="108"/>
    </row>
    <row r="194" spans="4:4">
      <c r="D194" s="108"/>
    </row>
    <row r="195" spans="4:4">
      <c r="D195" s="108"/>
    </row>
    <row r="196" spans="4:4">
      <c r="D196" s="108"/>
    </row>
    <row r="197" spans="4:4">
      <c r="D197" s="108"/>
    </row>
    <row r="198" spans="4:4">
      <c r="D198" s="108"/>
    </row>
    <row r="199" spans="4:4">
      <c r="D199" s="108"/>
    </row>
    <row r="200" spans="4:4">
      <c r="D200" s="108"/>
    </row>
    <row r="201" spans="4:4">
      <c r="D201" s="108"/>
    </row>
    <row r="202" spans="4:4">
      <c r="D202" s="108"/>
    </row>
    <row r="203" spans="4:4">
      <c r="D203" s="108"/>
    </row>
    <row r="204" spans="4:4">
      <c r="D204" s="108"/>
    </row>
    <row r="205" spans="4:4">
      <c r="D205" s="108"/>
    </row>
    <row r="206" spans="4:4">
      <c r="D206" s="108"/>
    </row>
    <row r="207" spans="4:4">
      <c r="D207" s="108"/>
    </row>
    <row r="208" spans="4:4">
      <c r="D208" s="108"/>
    </row>
    <row r="209" spans="4:4">
      <c r="D209" s="108"/>
    </row>
    <row r="210" spans="4:4">
      <c r="D210" s="108"/>
    </row>
    <row r="211" spans="4:4">
      <c r="D211" s="108"/>
    </row>
    <row r="212" spans="4:4">
      <c r="D212" s="108"/>
    </row>
    <row r="213" spans="4:4">
      <c r="D213" s="108"/>
    </row>
    <row r="214" spans="4:4">
      <c r="D214" s="108"/>
    </row>
    <row r="215" spans="4:4">
      <c r="D215" s="108"/>
    </row>
    <row r="216" spans="4:4">
      <c r="D216" s="108"/>
    </row>
    <row r="217" spans="4:4">
      <c r="D217" s="108"/>
    </row>
    <row r="218" spans="4:4">
      <c r="D218" s="108"/>
    </row>
    <row r="219" spans="4:4">
      <c r="D219" s="108"/>
    </row>
    <row r="220" spans="4:4">
      <c r="D220" s="108"/>
    </row>
    <row r="221" spans="4:4">
      <c r="D221" s="108"/>
    </row>
    <row r="222" spans="4:4">
      <c r="D222" s="108"/>
    </row>
    <row r="223" spans="4:4">
      <c r="D223" s="108"/>
    </row>
    <row r="224" spans="4:4">
      <c r="D224" s="108"/>
    </row>
    <row r="225" spans="4:4">
      <c r="D225" s="108"/>
    </row>
    <row r="226" spans="4:4">
      <c r="D226" s="108"/>
    </row>
    <row r="227" spans="4:4">
      <c r="D227" s="108"/>
    </row>
    <row r="228" spans="4:4">
      <c r="D228" s="108"/>
    </row>
    <row r="229" spans="4:4">
      <c r="D229" s="108"/>
    </row>
    <row r="230" spans="4:4">
      <c r="D230" s="108"/>
    </row>
    <row r="231" spans="4:4">
      <c r="D231" s="108"/>
    </row>
    <row r="232" spans="4:4">
      <c r="D232" s="108"/>
    </row>
    <row r="233" spans="4:4">
      <c r="D233" s="108"/>
    </row>
    <row r="234" spans="4:4">
      <c r="D234" s="108"/>
    </row>
    <row r="235" spans="4:4">
      <c r="D235" s="108"/>
    </row>
    <row r="236" spans="4:4">
      <c r="D236" s="108"/>
    </row>
    <row r="237" spans="4:4">
      <c r="D237" s="108"/>
    </row>
    <row r="238" spans="4:4">
      <c r="D238" s="108"/>
    </row>
    <row r="239" spans="4:4">
      <c r="D239" s="108"/>
    </row>
    <row r="240" spans="4:4">
      <c r="D240" s="108"/>
    </row>
    <row r="241" spans="4:4">
      <c r="D241" s="108"/>
    </row>
    <row r="242" spans="4:4">
      <c r="D242" s="108"/>
    </row>
    <row r="243" spans="4:4">
      <c r="D243" s="108"/>
    </row>
    <row r="244" spans="4:4">
      <c r="D244" s="108"/>
    </row>
    <row r="245" spans="4:4">
      <c r="D245" s="108"/>
    </row>
    <row r="246" spans="4:4">
      <c r="D246" s="108"/>
    </row>
    <row r="247" spans="4:4">
      <c r="D247" s="108"/>
    </row>
    <row r="248" spans="4:4">
      <c r="D248" s="108"/>
    </row>
    <row r="249" spans="4:4">
      <c r="D249" s="108"/>
    </row>
    <row r="250" spans="4:4">
      <c r="D250" s="108"/>
    </row>
    <row r="251" spans="4:4">
      <c r="D251" s="108"/>
    </row>
    <row r="252" spans="4:4">
      <c r="D252" s="108"/>
    </row>
    <row r="253" spans="4:4">
      <c r="D253" s="108"/>
    </row>
    <row r="254" spans="4:4">
      <c r="D254" s="108"/>
    </row>
    <row r="255" spans="4:4">
      <c r="D255" s="108"/>
    </row>
  </sheetData>
  <pageMargins left="0.7" right="0.7" top="0.75" bottom="0.75" header="0.3" footer="0.3"/>
  <pageSetup paperSize="9" scale="85"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DC089-4B45-43D1-BA28-2CE90D356886}">
  <sheetPr>
    <tabColor rgb="FF09C9C8"/>
  </sheetPr>
  <dimension ref="A3:G255"/>
  <sheetViews>
    <sheetView showGridLines="0" showRowColHeaders="0" view="pageBreakPreview" zoomScale="95" zoomScaleNormal="100" zoomScaleSheetLayoutView="95" workbookViewId="0"/>
  </sheetViews>
  <sheetFormatPr defaultRowHeight="15"/>
  <cols>
    <col min="1" max="1" width="16" customWidth="1"/>
    <col min="2" max="2" width="10.42578125" bestFit="1" customWidth="1"/>
    <col min="3" max="3" width="31.7109375" bestFit="1" customWidth="1"/>
    <col min="4" max="4" width="16.5703125" customWidth="1"/>
    <col min="5" max="5" width="12.7109375" customWidth="1"/>
    <col min="6" max="7" width="11.7109375" bestFit="1" customWidth="1"/>
    <col min="9" max="9" width="14.28515625" bestFit="1" customWidth="1"/>
  </cols>
  <sheetData>
    <row r="3" spans="1:6" ht="10.5" customHeight="1">
      <c r="A3" s="183" t="s">
        <v>179</v>
      </c>
    </row>
    <row r="4" spans="1:6" s="81" customFormat="1" ht="10.5" customHeight="1">
      <c r="A4" s="184" t="s">
        <v>178</v>
      </c>
    </row>
    <row r="5" spans="1:6" ht="10.5" customHeight="1">
      <c r="A5" s="183" t="s">
        <v>438</v>
      </c>
    </row>
    <row r="7" spans="1:6">
      <c r="B7" s="4" t="s">
        <v>58</v>
      </c>
      <c r="C7" s="4" t="s">
        <v>3</v>
      </c>
    </row>
    <row r="8" spans="1:6">
      <c r="B8" cm="1">
        <f t="array" ref="B8">IFERROR(_xlfn.XLOOKUP(C8,COA[[#All],[Nama Akun]],COA[[#All],[COA]]),"")</f>
        <v>1101</v>
      </c>
      <c r="C8" t="str" cm="1">
        <f t="array" ref="C8:C58">_xlfn.UNIQUE(TRIM(COA[Nama Akun]))</f>
        <v>Kas</v>
      </c>
      <c r="D8" s="153" cm="1">
        <f t="array" ref="D8">_xlfn.IFS(OR(LEFT(B8,1)="1",LEFT(B8,1)="5"),SUMIF(Transaksi2026[[#All],[Keterangan]],'Neraca Saldo 2026'!C8,Transaksi2026[[#All],[Debit]])-SUMIF(Transaksi2026[[#All],[Keterangan]],"   "&amp;'Neraca Saldo 2026'!C8,Transaksi2026[[#All],[Kredit]]),OR(LEFT(B8,1)="2",LEFT(B8,1)="3",LEFT(B8,1)="4"),SUMIF(Transaksi2026[[#All],[Keterangan]],"   "&amp;'Neraca Saldo 2026'!C8,Transaksi2026[[#All],[Kredit]])-SUMIF(Transaksi2026[[#All],[Keterangan]],'Neraca Saldo 2026'!C8,Transaksi2026[[#All],[Debit]]))</f>
        <v>9832015.2593671009</v>
      </c>
      <c r="E8" s="1"/>
      <c r="F8" s="3"/>
    </row>
    <row r="9" spans="1:6">
      <c r="B9" cm="1">
        <f t="array" ref="B9">IFERROR(_xlfn.XLOOKUP(C9,COA[[#All],[Nama Akun]],COA[[#All],[COA]]),"")</f>
        <v>1102</v>
      </c>
      <c r="C9" t="str">
        <v>Bank</v>
      </c>
      <c r="D9" s="153" cm="1">
        <f t="array" ref="D9">_xlfn.IFS(OR(LEFT(B9,1)="1",LEFT(B9,1)="5"),SUMIF(Transaksi2026[[#All],[Keterangan]],'Neraca Saldo 2026'!C9,Transaksi2026[[#All],[Debit]])-SUMIF(Transaksi2026[[#All],[Keterangan]],"   "&amp;'Neraca Saldo 2026'!C9,Transaksi2026[[#All],[Kredit]]),OR(LEFT(B9,1)="2",LEFT(B9,1)="3",LEFT(B9,1)="4"),SUMIF(Transaksi2026[[#All],[Keterangan]],"   "&amp;'Neraca Saldo 2026'!C9,Transaksi2026[[#All],[Kredit]])-SUMIF(Transaksi2026[[#All],[Keterangan]],'Neraca Saldo 2026'!C9,Transaksi2026[[#All],[Debit]]))</f>
        <v>0</v>
      </c>
    </row>
    <row r="10" spans="1:6">
      <c r="B10" cm="1">
        <f t="array" ref="B10">IFERROR(_xlfn.XLOOKUP(C10,COA[[#All],[Nama Akun]],COA[[#All],[COA]]),"")</f>
        <v>1103</v>
      </c>
      <c r="C10" t="str">
        <v>Piutang Usaha</v>
      </c>
      <c r="D10" s="153" cm="1">
        <f t="array" ref="D10">_xlfn.IFS(OR(LEFT(B10,1)="1",LEFT(B10,1)="5"),SUMIF(Transaksi2026[[#All],[Keterangan]],'Neraca Saldo 2026'!C10,Transaksi2026[[#All],[Debit]])-SUMIF(Transaksi2026[[#All],[Keterangan]],"   "&amp;'Neraca Saldo 2026'!C10,Transaksi2026[[#All],[Kredit]]),OR(LEFT(B10,1)="2",LEFT(B10,1)="3",LEFT(B10,1)="4"),SUMIF(Transaksi2026[[#All],[Keterangan]],"   "&amp;'Neraca Saldo 2026'!C10,Transaksi2026[[#All],[Kredit]])-SUMIF(Transaksi2026[[#All],[Keterangan]],'Neraca Saldo 2026'!C10,Transaksi2026[[#All],[Debit]]))</f>
        <v>38217937.600000001</v>
      </c>
    </row>
    <row r="11" spans="1:6">
      <c r="B11" cm="1">
        <f t="array" ref="B11">IFERROR(_xlfn.XLOOKUP(C11,COA[[#All],[Nama Akun]],COA[[#All],[COA]]),"")</f>
        <v>1104</v>
      </c>
      <c r="C11" t="str">
        <v>Persediaan Bahan Baku</v>
      </c>
      <c r="D11" s="153" cm="1">
        <f t="array" ref="D11">_xlfn.IFS(OR(LEFT(B11,1)="1",LEFT(B11,1)="5"),SUMIF(Transaksi2026[[#All],[Keterangan]],'Neraca Saldo 2026'!C11,Transaksi2026[[#All],[Debit]])-SUMIF(Transaksi2026[[#All],[Keterangan]],"   "&amp;'Neraca Saldo 2026'!C11,Transaksi2026[[#All],[Kredit]]),OR(LEFT(B11,1)="2",LEFT(B11,1)="3",LEFT(B11,1)="4"),SUMIF(Transaksi2026[[#All],[Keterangan]],"   "&amp;'Neraca Saldo 2026'!C11,Transaksi2026[[#All],[Kredit]])-SUMIF(Transaksi2026[[#All],[Keterangan]],'Neraca Saldo 2026'!C11,Transaksi2026[[#All],[Debit]]))</f>
        <v>656839.59899748862</v>
      </c>
    </row>
    <row r="12" spans="1:6">
      <c r="B12" cm="1">
        <f t="array" ref="B12">IFERROR(_xlfn.XLOOKUP(C12,COA[[#All],[Nama Akun]],COA[[#All],[COA]]),"")</f>
        <v>1105</v>
      </c>
      <c r="C12" t="str">
        <v>Perlengkapan Produksi</v>
      </c>
      <c r="D12" s="153" cm="1">
        <f t="array" ref="D12">_xlfn.IFS(OR(LEFT(B12,1)="1",LEFT(B12,1)="5"),SUMIF(Transaksi2026[[#All],[Keterangan]],'Neraca Saldo 2026'!C12,Transaksi2026[[#All],[Debit]])-SUMIF(Transaksi2026[[#All],[Keterangan]],"   "&amp;'Neraca Saldo 2026'!C12,Transaksi2026[[#All],[Kredit]]),OR(LEFT(B12,1)="2",LEFT(B12,1)="3",LEFT(B12,1)="4"),SUMIF(Transaksi2026[[#All],[Keterangan]],"   "&amp;'Neraca Saldo 2026'!C12,Transaksi2026[[#All],[Kredit]])-SUMIF(Transaksi2026[[#All],[Keterangan]],'Neraca Saldo 2026'!C12,Transaksi2026[[#All],[Debit]]))</f>
        <v>0</v>
      </c>
    </row>
    <row r="13" spans="1:6">
      <c r="B13" cm="1">
        <f t="array" ref="B13">IFERROR(_xlfn.XLOOKUP(C13,COA[[#All],[Nama Akun]],COA[[#All],[COA]]),"")</f>
        <v>1106</v>
      </c>
      <c r="C13" s="4" t="str">
        <v>Diskon Pembelian</v>
      </c>
      <c r="D13" s="153" cm="1">
        <f t="array" ref="D13">_xlfn.IFS(OR(LEFT(B13,1)="1",LEFT(B13,1)="5"),SUMIF(Transaksi2026[[#All],[Keterangan]],'Neraca Saldo 2026'!C13,Transaksi2026[[#All],[Debit]])-SUMIF(Transaksi2026[[#All],[Keterangan]],"   "&amp;'Neraca Saldo 2026'!C13,Transaksi2026[[#All],[Kredit]]),OR(LEFT(B13,1)="2",LEFT(B13,1)="3",LEFT(B13,1)="4"),SUMIF(Transaksi2026[[#All],[Keterangan]],"   "&amp;'Neraca Saldo 2026'!C13,Transaksi2026[[#All],[Kredit]])-SUMIF(Transaksi2026[[#All],[Keterangan]],'Neraca Saldo 2026'!C13,Transaksi2026[[#All],[Debit]]))</f>
        <v>-14900</v>
      </c>
    </row>
    <row r="14" spans="1:6">
      <c r="B14" cm="1">
        <f t="array" ref="B14">IFERROR(_xlfn.XLOOKUP(C14,COA[[#All],[Nama Akun]],COA[[#All],[COA]]),"")</f>
        <v>1107</v>
      </c>
      <c r="C14" t="str">
        <v>Gedung</v>
      </c>
      <c r="D14" s="153" cm="1">
        <f t="array" ref="D14">_xlfn.IFS(OR(LEFT(B14,1)="1",LEFT(B14,1)="5"),SUMIF(Transaksi2026[[#All],[Keterangan]],'Neraca Saldo 2026'!C14,Transaksi2026[[#All],[Debit]])-SUMIF(Transaksi2026[[#All],[Keterangan]],"   "&amp;'Neraca Saldo 2026'!C14,Transaksi2026[[#All],[Kredit]]),OR(LEFT(B14,1)="2",LEFT(B14,1)="3",LEFT(B14,1)="4"),SUMIF(Transaksi2026[[#All],[Keterangan]],"   "&amp;'Neraca Saldo 2026'!C14,Transaksi2026[[#All],[Kredit]])-SUMIF(Transaksi2026[[#All],[Keterangan]],'Neraca Saldo 2026'!C14,Transaksi2026[[#All],[Debit]]))</f>
        <v>0</v>
      </c>
    </row>
    <row r="15" spans="1:6">
      <c r="B15" cm="1">
        <f t="array" ref="B15">IFERROR(_xlfn.XLOOKUP(C15,COA[[#All],[Nama Akun]],COA[[#All],[COA]]),"")</f>
        <v>1108</v>
      </c>
      <c r="C15" t="str">
        <v>Akumulasi Penyusutan Gedung</v>
      </c>
      <c r="D15" s="153" cm="1">
        <f t="array" ref="D15">_xlfn.IFS(OR(LEFT(B15,1)="1",LEFT(B15,1)="5"),SUMIF(Transaksi2026[[#All],[Keterangan]],'Neraca Saldo 2026'!C15,Transaksi2026[[#All],[Debit]])-SUMIF(Transaksi2026[[#All],[Keterangan]],"   "&amp;'Neraca Saldo 2026'!C15,Transaksi2026[[#All],[Kredit]]),OR(LEFT(B15,1)="2",LEFT(B15,1)="3",LEFT(B15,1)="4"),SUMIF(Transaksi2026[[#All],[Keterangan]],"   "&amp;'Neraca Saldo 2026'!C15,Transaksi2026[[#All],[Kredit]])-SUMIF(Transaksi2026[[#All],[Keterangan]],'Neraca Saldo 2026'!C15,Transaksi2026[[#All],[Debit]]))</f>
        <v>0</v>
      </c>
    </row>
    <row r="16" spans="1:6">
      <c r="B16" cm="1">
        <f t="array" ref="B16">IFERROR(_xlfn.XLOOKUP(C16,COA[[#All],[Nama Akun]],COA[[#All],[COA]]),"")</f>
        <v>1109</v>
      </c>
      <c r="C16" t="str">
        <v>Mesin Produksi</v>
      </c>
      <c r="D16" s="153" cm="1">
        <f t="array" ref="D16">_xlfn.IFS(OR(LEFT(B16,1)="1",LEFT(B16,1)="5"),SUMIF(Transaksi2026[[#All],[Keterangan]],'Neraca Saldo 2026'!C16,Transaksi2026[[#All],[Debit]])-SUMIF(Transaksi2026[[#All],[Keterangan]],"   "&amp;'Neraca Saldo 2026'!C16,Transaksi2026[[#All],[Kredit]]),OR(LEFT(B16,1)="2",LEFT(B16,1)="3",LEFT(B16,1)="4"),SUMIF(Transaksi2026[[#All],[Keterangan]],"   "&amp;'Neraca Saldo 2026'!C16,Transaksi2026[[#All],[Kredit]])-SUMIF(Transaksi2026[[#All],[Keterangan]],'Neraca Saldo 2026'!C16,Transaksi2026[[#All],[Debit]]))</f>
        <v>600000</v>
      </c>
    </row>
    <row r="17" spans="2:7">
      <c r="B17" cm="1">
        <f t="array" ref="B17">IFERROR(_xlfn.XLOOKUP(C17,COA[[#All],[Nama Akun]],COA[[#All],[COA]]),"")</f>
        <v>1110</v>
      </c>
      <c r="C17" t="str">
        <v>Akumulasi Penyusutan Mesin</v>
      </c>
      <c r="D17" s="153" cm="1">
        <f t="array" ref="D17">_xlfn.IFS(OR(LEFT(B17,1)="1",LEFT(B17,1)="5"),SUMIF(Transaksi2026[[#All],[Keterangan]],'Neraca Saldo 2026'!C17,Transaksi2026[[#All],[Debit]])-SUMIF(Transaksi2026[[#All],[Keterangan]],"   "&amp;'Neraca Saldo 2026'!C17,Transaksi2026[[#All],[Kredit]]),OR(LEFT(B17,1)="2",LEFT(B17,1)="3",LEFT(B17,1)="4"),SUMIF(Transaksi2026[[#All],[Keterangan]],"   "&amp;'Neraca Saldo 2026'!C17,Transaksi2026[[#All],[Kredit]])-SUMIF(Transaksi2026[[#All],[Keterangan]],'Neraca Saldo 2026'!C17,Transaksi2026[[#All],[Debit]]))</f>
        <v>0</v>
      </c>
    </row>
    <row r="18" spans="2:7">
      <c r="B18" cm="1">
        <f t="array" ref="B18">IFERROR(_xlfn.XLOOKUP(C18,COA[[#All],[Nama Akun]],COA[[#All],[COA]]),"")</f>
        <v>1111</v>
      </c>
      <c r="C18" t="str">
        <v>Aset Lainnya</v>
      </c>
      <c r="D18" s="153" cm="1">
        <f t="array" ref="D18">_xlfn.IFS(OR(LEFT(B18,1)="1",LEFT(B18,1)="5"),SUMIF(Transaksi2026[[#All],[Keterangan]],'Neraca Saldo 2026'!C18,Transaksi2026[[#All],[Debit]])-SUMIF(Transaksi2026[[#All],[Keterangan]],"   "&amp;'Neraca Saldo 2026'!C18,Transaksi2026[[#All],[Kredit]]),OR(LEFT(B18,1)="2",LEFT(B18,1)="3",LEFT(B18,1)="4"),SUMIF(Transaksi2026[[#All],[Keterangan]],"   "&amp;'Neraca Saldo 2026'!C18,Transaksi2026[[#All],[Kredit]])-SUMIF(Transaksi2026[[#All],[Keterangan]],'Neraca Saldo 2026'!C18,Transaksi2026[[#All],[Debit]]))</f>
        <v>19169545.259128027</v>
      </c>
    </row>
    <row r="19" spans="2:7">
      <c r="B19" cm="1">
        <f t="array" ref="B19">IFERROR(_xlfn.XLOOKUP(C19,COA[[#All],[Nama Akun]],COA[[#All],[COA]]),"")</f>
        <v>1112</v>
      </c>
      <c r="C19" t="str">
        <v>Kendaraan</v>
      </c>
      <c r="D19" s="153" cm="1">
        <f t="array" ref="D19">_xlfn.IFS(OR(LEFT(B19,1)="1",LEFT(B19,1)="5"),SUMIF(Transaksi2026[[#All],[Keterangan]],'Neraca Saldo 2026'!C19,Transaksi2026[[#All],[Debit]])-SUMIF(Transaksi2026[[#All],[Keterangan]],"   "&amp;'Neraca Saldo 2026'!C19,Transaksi2026[[#All],[Kredit]]),OR(LEFT(B19,1)="2",LEFT(B19,1)="3",LEFT(B19,1)="4"),SUMIF(Transaksi2026[[#All],[Keterangan]],"   "&amp;'Neraca Saldo 2026'!C19,Transaksi2026[[#All],[Kredit]])-SUMIF(Transaksi2026[[#All],[Keterangan]],'Neraca Saldo 2026'!C19,Transaksi2026[[#All],[Debit]]))</f>
        <v>0</v>
      </c>
      <c r="F19" s="54" cm="1">
        <f t="array" ref="F19">SUMPRODUCT((LEFT(B8:B100&amp;"",1)="1")*(D8:D100))</f>
        <v>91667910.731953666</v>
      </c>
    </row>
    <row r="20" spans="2:7">
      <c r="B20" cm="1">
        <f t="array" ref="B20">IFERROR(_xlfn.XLOOKUP(C20,COA[[#All],[Nama Akun]],COA[[#All],[COA]]),"")</f>
        <v>1113</v>
      </c>
      <c r="C20" t="str">
        <v>Akumulasi Penyusutan Kendaraan</v>
      </c>
      <c r="D20" s="153" cm="1">
        <f t="array" ref="D20">_xlfn.IFS(OR(LEFT(B20,1)="1",LEFT(B20,1)="5"),SUMIF(Transaksi2026[[#All],[Keterangan]],'Neraca Saldo 2026'!C20,Transaksi2026[[#All],[Debit]])-SUMIF(Transaksi2026[[#All],[Keterangan]],"   "&amp;'Neraca Saldo 2026'!C20,Transaksi2026[[#All],[Kredit]]),OR(LEFT(B20,1)="2",LEFT(B20,1)="3",LEFT(B20,1)="4"),SUMIF(Transaksi2026[[#All],[Keterangan]],"   "&amp;'Neraca Saldo 2026'!C20,Transaksi2026[[#All],[Kredit]])-SUMIF(Transaksi2026[[#All],[Keterangan]],'Neraca Saldo 2026'!C20,Transaksi2026[[#All],[Debit]]))</f>
        <v>400000</v>
      </c>
    </row>
    <row r="21" spans="2:7">
      <c r="B21" cm="1">
        <f t="array" ref="B21">IFERROR(_xlfn.XLOOKUP(C21,COA[[#All],[Nama Akun]],COA[[#All],[COA]]),"")</f>
        <v>1114</v>
      </c>
      <c r="C21" t="str">
        <v>PPN Masukan</v>
      </c>
      <c r="D21" s="153" cm="1">
        <f t="array" ref="D21">_xlfn.IFS(OR(LEFT(B21,1)="1",LEFT(B21,1)="5"),SUMIF(Transaksi2026[[#All],[Keterangan]],'Neraca Saldo 2026'!C21,Transaksi2026[[#All],[Debit]])-SUMIF(Transaksi2026[[#All],[Keterangan]],"   "&amp;'Neraca Saldo 2026'!C21,Transaksi2026[[#All],[Kredit]]),OR(LEFT(B21,1)="2",LEFT(B21,1)="3",LEFT(B21,1)="4"),SUMIF(Transaksi2026[[#All],[Keterangan]],"   "&amp;'Neraca Saldo 2026'!C21,Transaksi2026[[#All],[Kredit]])-SUMIF(Transaksi2026[[#All],[Keterangan]],'Neraca Saldo 2026'!C21,Transaksi2026[[#All],[Debit]]))</f>
        <v>2453446.875</v>
      </c>
    </row>
    <row r="22" spans="2:7">
      <c r="B22" cm="1">
        <f t="array" ref="B22">IFERROR(_xlfn.XLOOKUP(C22,COA[[#All],[Nama Akun]],COA[[#All],[COA]]),"")</f>
        <v>1115</v>
      </c>
      <c r="C22" t="str">
        <v>Investasi Saham</v>
      </c>
      <c r="D22" s="153" cm="1">
        <f t="array" ref="D22">_xlfn.IFS(OR(LEFT(B22,1)="1",LEFT(B22,1)="5"),SUMIF(Transaksi2026[[#All],[Keterangan]],'Neraca Saldo 2026'!C22,Transaksi2026[[#All],[Debit]])-SUMIF(Transaksi2026[[#All],[Keterangan]],"   "&amp;'Neraca Saldo 2026'!C22,Transaksi2026[[#All],[Kredit]]),OR(LEFT(B22,1)="2",LEFT(B22,1)="3",LEFT(B22,1)="4"),SUMIF(Transaksi2026[[#All],[Keterangan]],"   "&amp;'Neraca Saldo 2026'!C22,Transaksi2026[[#All],[Kredit]])-SUMIF(Transaksi2026[[#All],[Keterangan]],'Neraca Saldo 2026'!C22,Transaksi2026[[#All],[Debit]]))</f>
        <v>11000000</v>
      </c>
    </row>
    <row r="23" spans="2:7">
      <c r="B23" cm="1">
        <f t="array" ref="B23">IFERROR(_xlfn.XLOOKUP(C23,COA[[#All],[Nama Akun]],COA[[#All],[COA]]),"")</f>
        <v>1116</v>
      </c>
      <c r="C23" t="str">
        <v>Investasi Obligasi</v>
      </c>
      <c r="D23" s="153" cm="1">
        <f t="array" ref="D23">_xlfn.IFS(OR(LEFT(B23,1)="1",LEFT(B23,1)="5"),SUMIF(Transaksi2026[[#All],[Keterangan]],'Neraca Saldo 2026'!C23,Transaksi2026[[#All],[Debit]])-SUMIF(Transaksi2026[[#All],[Keterangan]],"   "&amp;'Neraca Saldo 2026'!C23,Transaksi2026[[#All],[Kredit]]),OR(LEFT(B23,1)="2",LEFT(B23,1)="3",LEFT(B23,1)="4"),SUMIF(Transaksi2026[[#All],[Keterangan]],"   "&amp;'Neraca Saldo 2026'!C23,Transaksi2026[[#All],[Kredit]])-SUMIF(Transaksi2026[[#All],[Keterangan]],'Neraca Saldo 2026'!C23,Transaksi2026[[#All],[Debit]]))</f>
        <v>9353026.1394610498</v>
      </c>
    </row>
    <row r="24" spans="2:7">
      <c r="B24" cm="1">
        <f t="array" ref="B24">IFERROR(_xlfn.XLOOKUP(C24,COA[[#All],[Nama Akun]],COA[[#All],[COA]]),"")</f>
        <v>1117</v>
      </c>
      <c r="C24" t="str">
        <v>Aset Pensiun</v>
      </c>
      <c r="D24" s="153" cm="1">
        <f t="array" ref="D24">_xlfn.IFS(OR(LEFT(B24,1)="1",LEFT(B24,1)="5"),SUMIF(Transaksi2026[[#All],[Keterangan]],'Neraca Saldo 2026'!C24,Transaksi2026[[#All],[Debit]])-SUMIF(Transaksi2026[[#All],[Keterangan]],"   "&amp;'Neraca Saldo 2026'!C24,Transaksi2026[[#All],[Kredit]]),OR(LEFT(B24,1)="2",LEFT(B24,1)="3",LEFT(B24,1)="4"),SUMIF(Transaksi2026[[#All],[Keterangan]],"   "&amp;'Neraca Saldo 2026'!C24,Transaksi2026[[#All],[Kredit]])-SUMIF(Transaksi2026[[#All],[Keterangan]],'Neraca Saldo 2026'!C24,Transaksi2026[[#All],[Debit]]))</f>
        <v>0</v>
      </c>
    </row>
    <row r="25" spans="2:7">
      <c r="B25" cm="1">
        <f t="array" ref="B25">IFERROR(_xlfn.XLOOKUP(C25,COA[[#All],[Nama Akun]],COA[[#All],[COA]]),"")</f>
        <v>2101</v>
      </c>
      <c r="C25" t="str">
        <v>Utang Usaha</v>
      </c>
      <c r="D25" s="153" cm="1">
        <f t="array" ref="D25">_xlfn.IFS(OR(LEFT(B25,1)="1",LEFT(B25,1)="5"),SUMIF(Transaksi2026[[#All],[Keterangan]],'Neraca Saldo 2026'!C25,Transaksi2026[[#All],[Debit]])-SUMIF(Transaksi2026[[#All],[Keterangan]],"   "&amp;'Neraca Saldo 2026'!C25,Transaksi2026[[#All],[Kredit]]),OR(LEFT(B25,1)="2",LEFT(B25,1)="3",LEFT(B25,1)="4"),SUMIF(Transaksi2026[[#All],[Keterangan]],"   "&amp;'Neraca Saldo 2026'!C25,Transaksi2026[[#All],[Kredit]])-SUMIF(Transaksi2026[[#All],[Keterangan]],'Neraca Saldo 2026'!C25,Transaksi2026[[#All],[Debit]]))</f>
        <v>24743497.375</v>
      </c>
    </row>
    <row r="26" spans="2:7">
      <c r="B26" cm="1">
        <f t="array" ref="B26">IFERROR(_xlfn.XLOOKUP(C26,COA[[#All],[Nama Akun]],COA[[#All],[COA]]),"")</f>
        <v>2102</v>
      </c>
      <c r="C26" t="str">
        <v>Utang Pajak Gaji</v>
      </c>
      <c r="D26" s="153" cm="1">
        <f t="array" ref="D26">_xlfn.IFS(OR(LEFT(B26,1)="1",LEFT(B26,1)="5"),SUMIF(Transaksi2026[[#All],[Keterangan]],'Neraca Saldo 2026'!C26,Transaksi2026[[#All],[Debit]])-SUMIF(Transaksi2026[[#All],[Keterangan]],"   "&amp;'Neraca Saldo 2026'!C26,Transaksi2026[[#All],[Kredit]]),OR(LEFT(B26,1)="2",LEFT(B26,1)="3",LEFT(B26,1)="4"),SUMIF(Transaksi2026[[#All],[Keterangan]],"   "&amp;'Neraca Saldo 2026'!C26,Transaksi2026[[#All],[Kredit]])-SUMIF(Transaksi2026[[#All],[Keterangan]],'Neraca Saldo 2026'!C26,Transaksi2026[[#All],[Debit]]))</f>
        <v>240000</v>
      </c>
    </row>
    <row r="27" spans="2:7" ht="15.75" thickBot="1">
      <c r="B27" cm="1">
        <f t="array" ref="B27">IFERROR(_xlfn.XLOOKUP(C27,COA[[#All],[Nama Akun]],COA[[#All],[COA]]),"")</f>
        <v>2106</v>
      </c>
      <c r="C27" t="str">
        <v>PPN Keluaran</v>
      </c>
      <c r="D27" s="153" cm="1">
        <f t="array" ref="D27">_xlfn.IFS(OR(LEFT(B27,1)="1",LEFT(B27,1)="5"),SUMIF(Transaksi2026[[#All],[Keterangan]],'Neraca Saldo 2026'!C27,Transaksi2026[[#All],[Debit]])-SUMIF(Transaksi2026[[#All],[Keterangan]],"   "&amp;'Neraca Saldo 2026'!C27,Transaksi2026[[#All],[Kredit]]),OR(LEFT(B27,1)="2",LEFT(B27,1)="3",LEFT(B27,1)="4"),SUMIF(Transaksi2026[[#All],[Keterangan]],"   "&amp;'Neraca Saldo 2026'!C27,Transaksi2026[[#All],[Kredit]])-SUMIF(Transaksi2026[[#All],[Keterangan]],'Neraca Saldo 2026'!C27,Transaksi2026[[#All],[Debit]]))</f>
        <v>3910803.5999999996</v>
      </c>
      <c r="F27" s="54" cm="1">
        <f t="array" ref="F27">SUMPRODUCT((LEFT(B8:B100&amp;"",1)="2")*(D8:D100))</f>
        <v>52127049.871313773</v>
      </c>
      <c r="G27" s="186">
        <f>F19-F27</f>
        <v>39540860.860639893</v>
      </c>
    </row>
    <row r="28" spans="2:7" ht="15.75" thickTop="1">
      <c r="B28" cm="1">
        <f t="array" ref="B28">IFERROR(_xlfn.XLOOKUP(C28,COA[[#All],[Nama Akun]],COA[[#All],[COA]]),"")</f>
        <v>2103</v>
      </c>
      <c r="C28" t="str">
        <v>Utang Gaji</v>
      </c>
      <c r="D28" s="153" cm="1">
        <f t="array" ref="D28">_xlfn.IFS(OR(LEFT(B28,1)="1",LEFT(B28,1)="5"),SUMIF(Transaksi2026[[#All],[Keterangan]],'Neraca Saldo 2026'!C28,Transaksi2026[[#All],[Debit]])-SUMIF(Transaksi2026[[#All],[Keterangan]],"   "&amp;'Neraca Saldo 2026'!C28,Transaksi2026[[#All],[Kredit]]),OR(LEFT(B28,1)="2",LEFT(B28,1)="3",LEFT(B28,1)="4"),SUMIF(Transaksi2026[[#All],[Keterangan]],"   "&amp;'Neraca Saldo 2026'!C28,Transaksi2026[[#All],[Kredit]])-SUMIF(Transaksi2026[[#All],[Keterangan]],'Neraca Saldo 2026'!C28,Transaksi2026[[#All],[Debit]]))</f>
        <v>0</v>
      </c>
    </row>
    <row r="29" spans="2:7">
      <c r="B29" cm="1">
        <f t="array" ref="B29">IFERROR(_xlfn.XLOOKUP(C29,COA[[#All],[Nama Akun]],COA[[#All],[COA]]),"")</f>
        <v>2104</v>
      </c>
      <c r="C29" t="str">
        <v>Utang Bank</v>
      </c>
      <c r="D29" s="153" cm="1">
        <f t="array" ref="D29">_xlfn.IFS(OR(LEFT(B29,1)="1",LEFT(B29,1)="5"),SUMIF(Transaksi2026[[#All],[Keterangan]],'Neraca Saldo 2026'!C29,Transaksi2026[[#All],[Debit]])-SUMIF(Transaksi2026[[#All],[Keterangan]],"   "&amp;'Neraca Saldo 2026'!C29,Transaksi2026[[#All],[Kredit]]),OR(LEFT(B29,1)="2",LEFT(B29,1)="3",LEFT(B29,1)="4"),SUMIF(Transaksi2026[[#All],[Keterangan]],"   "&amp;'Neraca Saldo 2026'!C29,Transaksi2026[[#All],[Kredit]])-SUMIF(Transaksi2026[[#All],[Keterangan]],'Neraca Saldo 2026'!C29,Transaksi2026[[#All],[Debit]]))</f>
        <v>498214.64719276788</v>
      </c>
    </row>
    <row r="30" spans="2:7">
      <c r="B30" cm="1">
        <f t="array" ref="B30">IFERROR(_xlfn.XLOOKUP(C30,COA[[#All],[Nama Akun]],COA[[#All],[COA]]),"")</f>
        <v>2105</v>
      </c>
      <c r="C30" t="str">
        <v>Utang Obligasi</v>
      </c>
      <c r="D30" s="153" cm="1">
        <f t="array" ref="D30">_xlfn.IFS(OR(LEFT(B30,1)="1",LEFT(B30,1)="5"),SUMIF(Transaksi2026[[#All],[Keterangan]],'Neraca Saldo 2026'!C30,Transaksi2026[[#All],[Debit]])-SUMIF(Transaksi2026[[#All],[Keterangan]],"   "&amp;'Neraca Saldo 2026'!C30,Transaksi2026[[#All],[Kredit]]),OR(LEFT(B30,1)="2",LEFT(B30,1)="3",LEFT(B30,1)="4"),SUMIF(Transaksi2026[[#All],[Keterangan]],"   "&amp;'Neraca Saldo 2026'!C30,Transaksi2026[[#All],[Kredit]])-SUMIF(Transaksi2026[[#All],[Keterangan]],'Neraca Saldo 2026'!C30,Transaksi2026[[#All],[Debit]]))</f>
        <v>10000000</v>
      </c>
    </row>
    <row r="31" spans="2:7">
      <c r="B31" cm="1">
        <f t="array" ref="B31">IFERROR(_xlfn.XLOOKUP(C31,COA[[#All],[Nama Akun]],COA[[#All],[COA]]),"")</f>
        <v>2106</v>
      </c>
      <c r="C31" t="str">
        <v>Premi Obligasi</v>
      </c>
      <c r="D31" s="153" cm="1">
        <f t="array" ref="D31">_xlfn.IFS(OR(LEFT(B31,1)="1",LEFT(B31,1)="5"),SUMIF(Transaksi2026[[#All],[Keterangan]],'Neraca Saldo 2026'!C31,Transaksi2026[[#All],[Debit]])-SUMIF(Transaksi2026[[#All],[Keterangan]],"   "&amp;'Neraca Saldo 2026'!C31,Transaksi2026[[#All],[Kredit]]),OR(LEFT(B31,1)="2",LEFT(B31,1)="3",LEFT(B31,1)="4"),SUMIF(Transaksi2026[[#All],[Keterangan]],"   "&amp;'Neraca Saldo 2026'!C31,Transaksi2026[[#All],[Kredit]])-SUMIF(Transaksi2026[[#All],[Keterangan]],'Neraca Saldo 2026'!C31,Transaksi2026[[#All],[Debit]]))</f>
        <v>1085067.0551199091</v>
      </c>
    </row>
    <row r="32" spans="2:7" ht="15.75" thickBot="1">
      <c r="B32" cm="1">
        <f t="array" ref="B32">IFERROR(_xlfn.XLOOKUP(C32,COA[[#All],[Nama Akun]],COA[[#All],[COA]]),"")</f>
        <v>2107</v>
      </c>
      <c r="C32" s="4" t="str">
        <v>Diskon Obligasi</v>
      </c>
      <c r="D32" s="153" cm="1">
        <f t="array" ref="D32">_xlfn.IFS(OR(LEFT(B32,1)="1",LEFT(B32,1)="5"),SUMIF(Transaksi2026[[#All],[Keterangan]],'Neraca Saldo 2026'!C32,Transaksi2026[[#All],[Debit]])-SUMIF(Transaksi2026[[#All],[Keterangan]],"   "&amp;'Neraca Saldo 2026'!C32,Transaksi2026[[#All],[Kredit]]),OR(LEFT(B32,1)="2",LEFT(B32,1)="3",LEFT(B32,1)="4"),SUMIF(Transaksi2026[[#All],[Keterangan]],"   "&amp;'Neraca Saldo 2026'!C32,Transaksi2026[[#All],[Kredit]])-SUMIF(Transaksi2026[[#All],[Keterangan]],'Neraca Saldo 2026'!C32,Transaksi2026[[#All],[Debit]]))</f>
        <v>0</v>
      </c>
      <c r="F32" s="54" cm="1">
        <f t="array" ref="F32">SUMPRODUCT((LEFT(B8:B100&amp;"",1)="3")*(D8:D100))</f>
        <v>14496000</v>
      </c>
      <c r="G32" s="186">
        <f>F32</f>
        <v>14496000</v>
      </c>
    </row>
    <row r="33" spans="2:7" ht="15.75" thickTop="1">
      <c r="B33" cm="1">
        <f t="array" ref="B33">IFERROR(_xlfn.XLOOKUP(C33,COA[[#All],[Nama Akun]],COA[[#All],[COA]]),"")</f>
        <v>2108</v>
      </c>
      <c r="C33" t="str">
        <v>Wesel Bayar</v>
      </c>
      <c r="D33" s="153" cm="1">
        <f t="array" ref="D33">_xlfn.IFS(OR(LEFT(B33,1)="1",LEFT(B33,1)="5"),SUMIF(Transaksi2026[[#All],[Keterangan]],'Neraca Saldo 2026'!C33,Transaksi2026[[#All],[Debit]])-SUMIF(Transaksi2026[[#All],[Keterangan]],"   "&amp;'Neraca Saldo 2026'!C33,Transaksi2026[[#All],[Kredit]]),OR(LEFT(B33,1)="2",LEFT(B33,1)="3",LEFT(B33,1)="4"),SUMIF(Transaksi2026[[#All],[Keterangan]],"   "&amp;'Neraca Saldo 2026'!C33,Transaksi2026[[#All],[Kredit]])-SUMIF(Transaksi2026[[#All],[Keterangan]],'Neraca Saldo 2026'!C33,Transaksi2026[[#All],[Debit]]))</f>
        <v>4932315.1940010954</v>
      </c>
      <c r="G33" s="3">
        <f>G27-G32</f>
        <v>25044860.860639893</v>
      </c>
    </row>
    <row r="34" spans="2:7">
      <c r="B34" cm="1">
        <f t="array" ref="B34">IFERROR(_xlfn.XLOOKUP(C34,COA[[#All],[Nama Akun]],COA[[#All],[COA]]),"")</f>
        <v>2109</v>
      </c>
      <c r="C34" s="4" t="str">
        <v>Utang Kontinjensi Pemasaran</v>
      </c>
      <c r="D34" s="153" cm="1">
        <f t="array" ref="D34">_xlfn.IFS(OR(LEFT(B34,1)="1",LEFT(B34,1)="5"),SUMIF(Transaksi2026[[#All],[Keterangan]],'Neraca Saldo 2026'!C34,Transaksi2026[[#All],[Debit]])-SUMIF(Transaksi2026[[#All],[Keterangan]],"   "&amp;'Neraca Saldo 2026'!C34,Transaksi2026[[#All],[Kredit]]),OR(LEFT(B34,1)="2",LEFT(B34,1)="3",LEFT(B34,1)="4"),SUMIF(Transaksi2026[[#All],[Keterangan]],"   "&amp;'Neraca Saldo 2026'!C34,Transaksi2026[[#All],[Kredit]])-SUMIF(Transaksi2026[[#All],[Keterangan]],'Neraca Saldo 2026'!C34,Transaksi2026[[#All],[Debit]]))</f>
        <v>6397151.9999999981</v>
      </c>
    </row>
    <row r="35" spans="2:7">
      <c r="B35" cm="1">
        <f t="array" ref="B35">IFERROR(_xlfn.XLOOKUP(C35,COA[[#All],[Nama Akun]],COA[[#All],[COA]]),"")</f>
        <v>2110</v>
      </c>
      <c r="C35" s="4" t="str">
        <v>Utang Dividen</v>
      </c>
      <c r="D35" s="153" cm="1">
        <f t="array" ref="D35">_xlfn.IFS(OR(LEFT(B35,1)="1",LEFT(B35,1)="5"),SUMIF(Transaksi2026[[#All],[Keterangan]],'Neraca Saldo 2026'!C35,Transaksi2026[[#All],[Debit]])-SUMIF(Transaksi2026[[#All],[Keterangan]],"   "&amp;'Neraca Saldo 2026'!C35,Transaksi2026[[#All],[Kredit]]),OR(LEFT(B35,1)="2",LEFT(B35,1)="3",LEFT(B35,1)="4"),SUMIF(Transaksi2026[[#All],[Keterangan]],"   "&amp;'Neraca Saldo 2026'!C35,Transaksi2026[[#All],[Kredit]])-SUMIF(Transaksi2026[[#All],[Keterangan]],'Neraca Saldo 2026'!C35,Transaksi2026[[#All],[Debit]]))</f>
        <v>320000</v>
      </c>
    </row>
    <row r="36" spans="2:7">
      <c r="B36" cm="1">
        <f t="array" ref="B36">IFERROR(_xlfn.XLOOKUP(C36,COA[[#All],[Nama Akun]],COA[[#All],[COA]]),"")</f>
        <v>2111</v>
      </c>
      <c r="C36" t="str">
        <v>Utang Pensiun</v>
      </c>
      <c r="D36" s="153" cm="1">
        <f t="array" ref="D36">_xlfn.IFS(OR(LEFT(B36,1)="1",LEFT(B36,1)="5"),SUMIF(Transaksi2026[[#All],[Keterangan]],'Neraca Saldo 2026'!C36,Transaksi2026[[#All],[Debit]])-SUMIF(Transaksi2026[[#All],[Keterangan]],"   "&amp;'Neraca Saldo 2026'!C36,Transaksi2026[[#All],[Kredit]]),OR(LEFT(B36,1)="2",LEFT(B36,1)="3",LEFT(B36,1)="4"),SUMIF(Transaksi2026[[#All],[Keterangan]],"   "&amp;'Neraca Saldo 2026'!C36,Transaksi2026[[#All],[Kredit]])-SUMIF(Transaksi2026[[#All],[Keterangan]],'Neraca Saldo 2026'!C36,Transaksi2026[[#All],[Debit]]))</f>
        <v>0</v>
      </c>
      <c r="F36" s="54" cm="1">
        <f t="array" ref="F36">SUMPRODUCT((LEFT(B8:B100&amp;"",1)="4")*(D8:D100))</f>
        <v>66703400.106360339</v>
      </c>
    </row>
    <row r="37" spans="2:7">
      <c r="B37" cm="1">
        <f t="array" ref="B37">IFERROR(_xlfn.XLOOKUP(C37,COA[[#All],[Nama Akun]],COA[[#All],[COA]]),"")</f>
        <v>3102</v>
      </c>
      <c r="C37" t="str">
        <v>Modal</v>
      </c>
      <c r="D37" s="153" cm="1">
        <f t="array" ref="D37">_xlfn.IFS(OR(LEFT(B37,1)="1",LEFT(B37,1)="5"),SUMIF(Transaksi2026[[#All],[Keterangan]],'Neraca Saldo 2026'!C37,Transaksi2026[[#All],[Debit]])-SUMIF(Transaksi2026[[#All],[Keterangan]],"   "&amp;'Neraca Saldo 2026'!C37,Transaksi2026[[#All],[Kredit]]),OR(LEFT(B37,1)="2",LEFT(B37,1)="3",LEFT(B37,1)="4"),SUMIF(Transaksi2026[[#All],[Keterangan]],"   "&amp;'Neraca Saldo 2026'!C37,Transaksi2026[[#All],[Kredit]])-SUMIF(Transaksi2026[[#All],[Keterangan]],'Neraca Saldo 2026'!C37,Transaksi2026[[#All],[Debit]]))</f>
        <v>13220000</v>
      </c>
    </row>
    <row r="38" spans="2:7">
      <c r="B38" cm="1">
        <f t="array" ref="B38">IFERROR(_xlfn.XLOOKUP(C38,COA[[#All],[Nama Akun]],COA[[#All],[COA]]),"")</f>
        <v>3103</v>
      </c>
      <c r="C38" t="str">
        <v>Laba Ditahan</v>
      </c>
      <c r="D38" s="153" cm="1">
        <f t="array" ref="D38">_xlfn.IFS(OR(LEFT(B38,1)="1",LEFT(B38,1)="5"),SUMIF(Transaksi2026[[#All],[Keterangan]],'Neraca Saldo 2026'!C38,Transaksi2026[[#All],[Debit]])-SUMIF(Transaksi2026[[#All],[Keterangan]],"   "&amp;'Neraca Saldo 2026'!C38,Transaksi2026[[#All],[Kredit]]),OR(LEFT(B38,1)="2",LEFT(B38,1)="3",LEFT(B38,1)="4"),SUMIF(Transaksi2026[[#All],[Keterangan]],"   "&amp;'Neraca Saldo 2026'!C38,Transaksi2026[[#All],[Kredit]])-SUMIF(Transaksi2026[[#All],[Keterangan]],'Neraca Saldo 2026'!C38,Transaksi2026[[#All],[Debit]]))</f>
        <v>-320000</v>
      </c>
    </row>
    <row r="39" spans="2:7">
      <c r="B39" cm="1">
        <f t="array" ref="B39">IFERROR(_xlfn.XLOOKUP(C39,COA[[#All],[Nama Akun]],COA[[#All],[COA]]),"")</f>
        <v>3104</v>
      </c>
      <c r="C39" t="str">
        <v>Premi Saham-Biasa</v>
      </c>
      <c r="D39" s="153" cm="1">
        <f t="array" ref="D39">_xlfn.IFS(OR(LEFT(B39,1)="1",LEFT(B39,1)="5"),SUMIF(Transaksi2026[[#All],[Keterangan]],'Neraca Saldo 2026'!C39,Transaksi2026[[#All],[Debit]])-SUMIF(Transaksi2026[[#All],[Keterangan]],"   "&amp;'Neraca Saldo 2026'!C39,Transaksi2026[[#All],[Kredit]]),OR(LEFT(B39,1)="2",LEFT(B39,1)="3",LEFT(B39,1)="4"),SUMIF(Transaksi2026[[#All],[Keterangan]],"   "&amp;'Neraca Saldo 2026'!C39,Transaksi2026[[#All],[Kredit]])-SUMIF(Transaksi2026[[#All],[Keterangan]],'Neraca Saldo 2026'!C39,Transaksi2026[[#All],[Debit]]))</f>
        <v>1596000</v>
      </c>
    </row>
    <row r="40" spans="2:7">
      <c r="B40" cm="1">
        <f t="array" ref="B40">IFERROR(_xlfn.XLOOKUP(C40,COA[[#All],[Nama Akun]],COA[[#All],[COA]]),"")</f>
        <v>4101</v>
      </c>
      <c r="C40" t="str">
        <v>Penjualan Produk Garment</v>
      </c>
      <c r="D40" s="153" cm="1">
        <f t="array" ref="D40">_xlfn.IFS(OR(LEFT(B40,1)="1",LEFT(B40,1)="5"),SUMIF(Transaksi2026[[#All],[Keterangan]],'Neraca Saldo 2026'!C40,Transaksi2026[[#All],[Debit]])-SUMIF(Transaksi2026[[#All],[Keterangan]],"   "&amp;'Neraca Saldo 2026'!C40,Transaksi2026[[#All],[Kredit]]),OR(LEFT(B40,1)="2",LEFT(B40,1)="3",LEFT(B40,1)="4"),SUMIF(Transaksi2026[[#All],[Keterangan]],"   "&amp;'Neraca Saldo 2026'!C40,Transaksi2026[[#All],[Kredit]])-SUMIF(Transaksi2026[[#All],[Keterangan]],'Neraca Saldo 2026'!C40,Transaksi2026[[#All],[Debit]]))</f>
        <v>53239904</v>
      </c>
    </row>
    <row r="41" spans="2:7">
      <c r="B41" cm="1">
        <f t="array" ref="B41">IFERROR(_xlfn.XLOOKUP(C41,COA[[#All],[Nama Akun]],COA[[#All],[COA]]),"")</f>
        <v>4103</v>
      </c>
      <c r="C41" t="str">
        <v>Diskon Penjualan</v>
      </c>
      <c r="D41" s="153" cm="1">
        <f t="array" ref="D41">_xlfn.IFS(OR(LEFT(B41,1)="1",LEFT(B41,1)="5"),SUMIF(Transaksi2026[[#All],[Keterangan]],'Neraca Saldo 2026'!C41,Transaksi2026[[#All],[Debit]])-SUMIF(Transaksi2026[[#All],[Keterangan]],"   "&amp;'Neraca Saldo 2026'!C41,Transaksi2026[[#All],[Kredit]]),OR(LEFT(B41,1)="2",LEFT(B41,1)="3",LEFT(B41,1)="4"),SUMIF(Transaksi2026[[#All],[Keterangan]],"   "&amp;'Neraca Saldo 2026'!C41,Transaksi2026[[#All],[Kredit]])-SUMIF(Transaksi2026[[#All],[Keterangan]],'Neraca Saldo 2026'!C41,Transaksi2026[[#All],[Debit]]))</f>
        <v>405610</v>
      </c>
    </row>
    <row r="42" spans="2:7">
      <c r="B42" cm="1">
        <f t="array" ref="B42">IFERROR(_xlfn.XLOOKUP(C42,COA[[#All],[Nama Akun]],COA[[#All],[COA]]),"")</f>
        <v>4102</v>
      </c>
      <c r="C42" t="str">
        <v>Retur Penjualan</v>
      </c>
      <c r="D42" s="153" cm="1">
        <f t="array" ref="D42">_xlfn.IFS(OR(LEFT(B42,1)="1",LEFT(B42,1)="5"),SUMIF(Transaksi2026[[#All],[Keterangan]],'Neraca Saldo 2026'!C42,Transaksi2026[[#All],[Debit]])-SUMIF(Transaksi2026[[#All],[Keterangan]],"   "&amp;'Neraca Saldo 2026'!C42,Transaksi2026[[#All],[Kredit]]),OR(LEFT(B42,1)="2",LEFT(B42,1)="3",LEFT(B42,1)="4"),SUMIF(Transaksi2026[[#All],[Keterangan]],"   "&amp;'Neraca Saldo 2026'!C42,Transaksi2026[[#All],[Kredit]])-SUMIF(Transaksi2026[[#All],[Keterangan]],'Neraca Saldo 2026'!C42,Transaksi2026[[#All],[Debit]]))</f>
        <v>-19338380</v>
      </c>
    </row>
    <row r="43" spans="2:7">
      <c r="B43" cm="1">
        <f t="array" ref="B43">IFERROR(_xlfn.XLOOKUP(C43,COA[[#All],[Nama Akun]],COA[[#All],[COA]]),"")</f>
        <v>4103</v>
      </c>
      <c r="C43" t="str">
        <v>Pendapatan Lain-lain</v>
      </c>
      <c r="D43" s="153" cm="1">
        <f t="array" ref="D43">_xlfn.IFS(OR(LEFT(B43,1)="1",LEFT(B43,1)="5"),SUMIF(Transaksi2026[[#All],[Keterangan]],'Neraca Saldo 2026'!C43,Transaksi2026[[#All],[Debit]])-SUMIF(Transaksi2026[[#All],[Keterangan]],"   "&amp;'Neraca Saldo 2026'!C43,Transaksi2026[[#All],[Kredit]]),OR(LEFT(B43,1)="2",LEFT(B43,1)="3",LEFT(B43,1)="4"),SUMIF(Transaksi2026[[#All],[Keterangan]],"   "&amp;'Neraca Saldo 2026'!C43,Transaksi2026[[#All],[Kredit]])-SUMIF(Transaksi2026[[#All],[Keterangan]],'Neraca Saldo 2026'!C43,Transaksi2026[[#All],[Debit]]))</f>
        <v>31976722.859128028</v>
      </c>
    </row>
    <row r="44" spans="2:7">
      <c r="B44" cm="1">
        <f t="array" ref="B44">IFERROR(_xlfn.XLOOKUP(C44,COA[[#All],[Nama Akun]],COA[[#All],[COA]]),"")</f>
        <v>4105</v>
      </c>
      <c r="C44" t="str">
        <v>Pendapatan Bunga</v>
      </c>
      <c r="D44" s="153" cm="1">
        <f t="array" ref="D44">_xlfn.IFS(OR(LEFT(B44,1)="1",LEFT(B44,1)="5"),SUMIF(Transaksi2026[[#All],[Keterangan]],'Neraca Saldo 2026'!C44,Transaksi2026[[#All],[Debit]])-SUMIF(Transaksi2026[[#All],[Keterangan]],"   "&amp;'Neraca Saldo 2026'!C44,Transaksi2026[[#All],[Kredit]]),OR(LEFT(B44,1)="2",LEFT(B44,1)="3",LEFT(B44,1)="4"),SUMIF(Transaksi2026[[#All],[Keterangan]],"   "&amp;'Neraca Saldo 2026'!C44,Transaksi2026[[#All],[Kredit]])-SUMIF(Transaksi2026[[#All],[Keterangan]],'Neraca Saldo 2026'!C44,Transaksi2026[[#All],[Debit]]))</f>
        <v>419543.24723230896</v>
      </c>
    </row>
    <row r="45" spans="2:7">
      <c r="B45" cm="1">
        <f t="array" ref="B45">IFERROR(_xlfn.XLOOKUP(C45,COA[[#All],[Nama Akun]],COA[[#All],[COA]]),"")</f>
        <v>5101</v>
      </c>
      <c r="C45" t="str">
        <v>Beban Bahan Baku</v>
      </c>
      <c r="D45" s="153" cm="1">
        <f t="array" ref="D45">_xlfn.IFS(OR(LEFT(B45,1)="1",LEFT(B45,1)="5"),SUMIF(Transaksi2026[[#All],[Keterangan]],'Neraca Saldo 2026'!C45,Transaksi2026[[#All],[Debit]])-SUMIF(Transaksi2026[[#All],[Keterangan]],"   "&amp;'Neraca Saldo 2026'!C45,Transaksi2026[[#All],[Kredit]]),OR(LEFT(B45,1)="2",LEFT(B45,1)="3",LEFT(B45,1)="4"),SUMIF(Transaksi2026[[#All],[Keterangan]],"   "&amp;'Neraca Saldo 2026'!C45,Transaksi2026[[#All],[Kredit]])-SUMIF(Transaksi2026[[#All],[Keterangan]],'Neraca Saldo 2026'!C45,Transaksi2026[[#All],[Debit]]))</f>
        <v>0</v>
      </c>
    </row>
    <row r="46" spans="2:7">
      <c r="B46" cm="1">
        <f t="array" ref="B46">IFERROR(_xlfn.XLOOKUP(C46,COA[[#All],[Nama Akun]],COA[[#All],[COA]]),"")</f>
        <v>5102</v>
      </c>
      <c r="C46" t="str">
        <v>Beban Tenaga Kerja Langsung</v>
      </c>
      <c r="D46" s="153" cm="1">
        <f t="array" ref="D46">_xlfn.IFS(OR(LEFT(B46,1)="1",LEFT(B46,1)="5"),SUMIF(Transaksi2026[[#All],[Keterangan]],'Neraca Saldo 2026'!C46,Transaksi2026[[#All],[Debit]])-SUMIF(Transaksi2026[[#All],[Keterangan]],"   "&amp;'Neraca Saldo 2026'!C46,Transaksi2026[[#All],[Kredit]]),OR(LEFT(B46,1)="2",LEFT(B46,1)="3",LEFT(B46,1)="4"),SUMIF(Transaksi2026[[#All],[Keterangan]],"   "&amp;'Neraca Saldo 2026'!C46,Transaksi2026[[#All],[Kredit]])-SUMIF(Transaksi2026[[#All],[Keterangan]],'Neraca Saldo 2026'!C46,Transaksi2026[[#All],[Debit]]))</f>
        <v>2400000</v>
      </c>
    </row>
    <row r="47" spans="2:7">
      <c r="B47" cm="1">
        <f t="array" ref="B47">IFERROR(_xlfn.XLOOKUP(C47,COA[[#All],[Nama Akun]],COA[[#All],[COA]]),"")</f>
        <v>5103</v>
      </c>
      <c r="C47" t="str">
        <v>Beban Overhead Pabrik</v>
      </c>
      <c r="D47" s="153" cm="1">
        <f t="array" ref="D47">_xlfn.IFS(OR(LEFT(B47,1)="1",LEFT(B47,1)="5"),SUMIF(Transaksi2026[[#All],[Keterangan]],'Neraca Saldo 2026'!C47,Transaksi2026[[#All],[Debit]])-SUMIF(Transaksi2026[[#All],[Keterangan]],"   "&amp;'Neraca Saldo 2026'!C47,Transaksi2026[[#All],[Kredit]]),OR(LEFT(B47,1)="2",LEFT(B47,1)="3",LEFT(B47,1)="4"),SUMIF(Transaksi2026[[#All],[Keterangan]],"   "&amp;'Neraca Saldo 2026'!C47,Transaksi2026[[#All],[Kredit]])-SUMIF(Transaksi2026[[#All],[Keterangan]],'Neraca Saldo 2026'!C47,Transaksi2026[[#All],[Debit]]))</f>
        <v>0</v>
      </c>
    </row>
    <row r="48" spans="2:7">
      <c r="B48" cm="1">
        <f t="array" ref="B48">IFERROR(_xlfn.XLOOKUP(C48,COA[[#All],[Nama Akun]],COA[[#All],[COA]]),"")</f>
        <v>5104</v>
      </c>
      <c r="C48" t="str">
        <v>Beban Utilitas</v>
      </c>
      <c r="D48" s="153" cm="1">
        <f t="array" ref="D48">_xlfn.IFS(OR(LEFT(B48,1)="1",LEFT(B48,1)="5"),SUMIF(Transaksi2026[[#All],[Keterangan]],'Neraca Saldo 2026'!C48,Transaksi2026[[#All],[Debit]])-SUMIF(Transaksi2026[[#All],[Keterangan]],"   "&amp;'Neraca Saldo 2026'!C48,Transaksi2026[[#All],[Kredit]]),OR(LEFT(B48,1)="2",LEFT(B48,1)="3",LEFT(B48,1)="4"),SUMIF(Transaksi2026[[#All],[Keterangan]],"   "&amp;'Neraca Saldo 2026'!C48,Transaksi2026[[#All],[Kredit]])-SUMIF(Transaksi2026[[#All],[Keterangan]],'Neraca Saldo 2026'!C48,Transaksi2026[[#All],[Debit]]))</f>
        <v>440000</v>
      </c>
      <c r="F48" s="54" cm="1">
        <f t="array" ref="F48">SUMPRODUCT((LEFT(B8:B100&amp;"",1)="5")*(D8:D100))</f>
        <v>41658539.245720446</v>
      </c>
      <c r="G48" s="3">
        <f>F36-F48</f>
        <v>25044860.860639893</v>
      </c>
    </row>
    <row r="49" spans="2:7">
      <c r="B49" cm="1">
        <f t="array" ref="B49">IFERROR(_xlfn.XLOOKUP(C49,COA[[#All],[Nama Akun]],COA[[#All],[COA]]),"")</f>
        <v>5105</v>
      </c>
      <c r="C49" t="str">
        <v>Beban Penyusutan</v>
      </c>
      <c r="D49" s="153" cm="1">
        <f t="array" ref="D49">_xlfn.IFS(OR(LEFT(B49,1)="1",LEFT(B49,1)="5"),SUMIF(Transaksi2026[[#All],[Keterangan]],'Neraca Saldo 2026'!C49,Transaksi2026[[#All],[Debit]])-SUMIF(Transaksi2026[[#All],[Keterangan]],"   "&amp;'Neraca Saldo 2026'!C49,Transaksi2026[[#All],[Kredit]]),OR(LEFT(B49,1)="2",LEFT(B49,1)="3",LEFT(B49,1)="4"),SUMIF(Transaksi2026[[#All],[Keterangan]],"   "&amp;'Neraca Saldo 2026'!C49,Transaksi2026[[#All],[Kredit]])-SUMIF(Transaksi2026[[#All],[Keterangan]],'Neraca Saldo 2026'!C49,Transaksi2026[[#All],[Debit]]))</f>
        <v>0</v>
      </c>
      <c r="F49" s="54"/>
      <c r="G49" s="3"/>
    </row>
    <row r="50" spans="2:7">
      <c r="B50" cm="1">
        <f t="array" ref="B50">IFERROR(_xlfn.XLOOKUP(C50,COA[[#All],[Nama Akun]],COA[[#All],[COA]]),"")</f>
        <v>5106</v>
      </c>
      <c r="C50" t="str">
        <v>Beban Pemasaran &amp; Iklan</v>
      </c>
      <c r="D50" s="153" cm="1">
        <f t="array" ref="D50">_xlfn.IFS(OR(LEFT(B50,1)="1",LEFT(B50,1)="5"),SUMIF(Transaksi2026[[#All],[Keterangan]],'Neraca Saldo 2026'!C50,Transaksi2026[[#All],[Debit]])-SUMIF(Transaksi2026[[#All],[Keterangan]],"   "&amp;'Neraca Saldo 2026'!C50,Transaksi2026[[#All],[Kredit]]),OR(LEFT(B50,1)="2",LEFT(B50,1)="3",LEFT(B50,1)="4"),SUMIF(Transaksi2026[[#All],[Keterangan]],"   "&amp;'Neraca Saldo 2026'!C50,Transaksi2026[[#All],[Kredit]])-SUMIF(Transaksi2026[[#All],[Keterangan]],'Neraca Saldo 2026'!C50,Transaksi2026[[#All],[Debit]]))</f>
        <v>16240217.6</v>
      </c>
    </row>
    <row r="51" spans="2:7">
      <c r="B51" cm="1">
        <f t="array" ref="B51">IFERROR(_xlfn.XLOOKUP(C51,COA[[#All],[Nama Akun]],COA[[#All],[COA]]),"")</f>
        <v>5107</v>
      </c>
      <c r="C51" t="str">
        <v>Beban Administrasi &amp; Umum</v>
      </c>
      <c r="D51" s="153" cm="1">
        <f t="array" ref="D51">_xlfn.IFS(OR(LEFT(B51,1)="1",LEFT(B51,1)="5"),SUMIF(Transaksi2026[[#All],[Keterangan]],'Neraca Saldo 2026'!C51,Transaksi2026[[#All],[Debit]])-SUMIF(Transaksi2026[[#All],[Keterangan]],"   "&amp;'Neraca Saldo 2026'!C51,Transaksi2026[[#All],[Kredit]]),OR(LEFT(B51,1)="2",LEFT(B51,1)="3",LEFT(B51,1)="4"),SUMIF(Transaksi2026[[#All],[Keterangan]],"   "&amp;'Neraca Saldo 2026'!C51,Transaksi2026[[#All],[Kredit]])-SUMIF(Transaksi2026[[#All],[Keterangan]],'Neraca Saldo 2026'!C51,Transaksi2026[[#All],[Debit]]))</f>
        <v>0</v>
      </c>
    </row>
    <row r="52" spans="2:7">
      <c r="B52" cm="1">
        <f t="array" ref="B52">IFERROR(_xlfn.XLOOKUP(C52,COA[[#All],[Nama Akun]],COA[[#All],[COA]]),"")</f>
        <v>5108</v>
      </c>
      <c r="C52" t="str">
        <v>Beban Sewa</v>
      </c>
      <c r="D52" s="153" cm="1">
        <f t="array" ref="D52">_xlfn.IFS(OR(LEFT(B52,1)="1",LEFT(B52,1)="5"),SUMIF(Transaksi2026[[#All],[Keterangan]],'Neraca Saldo 2026'!C52,Transaksi2026[[#All],[Debit]])-SUMIF(Transaksi2026[[#All],[Keterangan]],"   "&amp;'Neraca Saldo 2026'!C52,Transaksi2026[[#All],[Kredit]]),OR(LEFT(B52,1)="2",LEFT(B52,1)="3",LEFT(B52,1)="4"),SUMIF(Transaksi2026[[#All],[Keterangan]],"   "&amp;'Neraca Saldo 2026'!C52,Transaksi2026[[#All],[Kredit]])-SUMIF(Transaksi2026[[#All],[Keterangan]],'Neraca Saldo 2026'!C52,Transaksi2026[[#All],[Debit]]))</f>
        <v>0</v>
      </c>
    </row>
    <row r="53" spans="2:7">
      <c r="B53" cm="1">
        <f t="array" ref="B53">IFERROR(_xlfn.XLOOKUP(C53,COA[[#All],[Nama Akun]],COA[[#All],[COA]]),"")</f>
        <v>5109</v>
      </c>
      <c r="C53" s="2" t="str">
        <v>Beban Pokok Penjualan</v>
      </c>
      <c r="D53" s="153" cm="1">
        <f t="array" ref="D53">_xlfn.IFS(OR(LEFT(B53,1)="1",LEFT(B53,1)="5"),SUMIF(Transaksi2026[[#All],[Keterangan]],'Neraca Saldo 2026'!C53,Transaksi2026[[#All],[Debit]])-SUMIF(Transaksi2026[[#All],[Keterangan]],"   "&amp;'Neraca Saldo 2026'!C53,Transaksi2026[[#All],[Kredit]]),OR(LEFT(B53,1)="2",LEFT(B53,1)="3",LEFT(B53,1)="4"),SUMIF(Transaksi2026[[#All],[Keterangan]],"   "&amp;'Neraca Saldo 2026'!C53,Transaksi2026[[#All],[Kredit]])-SUMIF(Transaksi2026[[#All],[Keterangan]],'Neraca Saldo 2026'!C53,Transaksi2026[[#All],[Debit]]))</f>
        <v>21647222.901002511</v>
      </c>
    </row>
    <row r="54" spans="2:7">
      <c r="B54" cm="1">
        <f t="array" ref="B54">IFERROR(_xlfn.XLOOKUP(C54,COA[[#All],[Nama Akun]],COA[[#All],[COA]]),"")</f>
        <v>5110</v>
      </c>
      <c r="C54" t="str">
        <v>Beban Bunga</v>
      </c>
      <c r="D54" s="153" cm="1">
        <f t="array" ref="D54">_xlfn.IFS(OR(LEFT(B54,1)="1",LEFT(B54,1)="5"),SUMIF(Transaksi2026[[#All],[Keterangan]],'Neraca Saldo 2026'!C54,Transaksi2026[[#All],[Debit]])-SUMIF(Transaksi2026[[#All],[Keterangan]],"   "&amp;'Neraca Saldo 2026'!C54,Transaksi2026[[#All],[Kredit]]),OR(LEFT(B54,1)="2",LEFT(B54,1)="3",LEFT(B54,1)="4"),SUMIF(Transaksi2026[[#All],[Keterangan]],"   "&amp;'Neraca Saldo 2026'!C54,Transaksi2026[[#All],[Kredit]])-SUMIF(Transaksi2026[[#All],[Keterangan]],'Neraca Saldo 2026'!C54,Transaksi2026[[#All],[Debit]]))</f>
        <v>930855.45564537984</v>
      </c>
    </row>
    <row r="55" spans="2:7">
      <c r="B55" cm="1">
        <f t="array" ref="B55">IFERROR(_xlfn.XLOOKUP(C55,COA[[#All],[Nama Akun]],COA[[#All],[COA]]),"")</f>
        <v>5111</v>
      </c>
      <c r="C55" t="str">
        <v>Retur Pembelian</v>
      </c>
      <c r="D55" s="153" cm="1">
        <f t="array" ref="D55">_xlfn.IFS(OR(LEFT(B55,1)="1",LEFT(B55,1)="5"),SUMIF(Transaksi2026[[#All],[Keterangan]],'Neraca Saldo 2026'!C55,Transaksi2026[[#All],[Debit]])-SUMIF(Transaksi2026[[#All],[Keterangan]],"   "&amp;'Neraca Saldo 2026'!C55,Transaksi2026[[#All],[Kredit]]),OR(LEFT(B55,1)="2",LEFT(B55,1)="3",LEFT(B55,1)="4"),SUMIF(Transaksi2026[[#All],[Keterangan]],"   "&amp;'Neraca Saldo 2026'!C55,Transaksi2026[[#All],[Kredit]])-SUMIF(Transaksi2026[[#All],[Keterangan]],'Neraca Saldo 2026'!C55,Transaksi2026[[#All],[Debit]]))</f>
        <v>0</v>
      </c>
    </row>
    <row r="56" spans="2:7">
      <c r="B56" cm="1">
        <f t="array" ref="B56">IFERROR(_xlfn.XLOOKUP(C56,COA[[#All],[Nama Akun]],COA[[#All],[COA]]),"")</f>
        <v>5112</v>
      </c>
      <c r="C56" t="str">
        <v>Beban Pph Badan</v>
      </c>
      <c r="D56" s="153" cm="1">
        <f t="array" ref="D56">_xlfn.IFS(OR(LEFT(B56,1)="1",LEFT(B56,1)="5"),SUMIF(Transaksi2026[[#All],[Keterangan]],'Neraca Saldo 2026'!C56,Transaksi2026[[#All],[Debit]])-SUMIF(Transaksi2026[[#All],[Keterangan]],"   "&amp;'Neraca Saldo 2026'!C56,Transaksi2026[[#All],[Kredit]]),OR(LEFT(B56,1)="2",LEFT(B56,1)="3",LEFT(B56,1)="4"),SUMIF(Transaksi2026[[#All],[Keterangan]],"   "&amp;'Neraca Saldo 2026'!C56,Transaksi2026[[#All],[Kredit]])-SUMIF(Transaksi2026[[#All],[Keterangan]],'Neraca Saldo 2026'!C56,Transaksi2026[[#All],[Debit]]))</f>
        <v>0</v>
      </c>
    </row>
    <row r="57" spans="2:7">
      <c r="B57" cm="1">
        <f t="array" ref="B57">IFERROR(_xlfn.XLOOKUP(C57,COA[[#All],[Nama Akun]],COA[[#All],[COA]]),"")</f>
        <v>5113</v>
      </c>
      <c r="C57" t="str">
        <v>Beban Pensiun</v>
      </c>
      <c r="D57" s="153" cm="1">
        <f t="array" ref="D57">_xlfn.IFS(OR(LEFT(B57,1)="1",LEFT(B57,1)="5"),SUMIF(Transaksi2026[[#All],[Keterangan]],'Neraca Saldo 2026'!C57,Transaksi2026[[#All],[Debit]])-SUMIF(Transaksi2026[[#All],[Keterangan]],"   "&amp;'Neraca Saldo 2026'!C57,Transaksi2026[[#All],[Kredit]]),OR(LEFT(B57,1)="2",LEFT(B57,1)="3",LEFT(B57,1)="4"),SUMIF(Transaksi2026[[#All],[Keterangan]],"   "&amp;'Neraca Saldo 2026'!C57,Transaksi2026[[#All],[Kredit]])-SUMIF(Transaksi2026[[#All],[Keterangan]],'Neraca Saldo 2026'!C57,Transaksi2026[[#All],[Debit]]))</f>
        <v>243.28907254999078</v>
      </c>
    </row>
    <row r="58" spans="2:7">
      <c r="B58" cm="1">
        <f t="array" ref="B58">IFERROR(_xlfn.XLOOKUP(C58,COA[[#All],[Nama Akun]],COA[[#All],[COA]]),"")</f>
        <v>5999</v>
      </c>
      <c r="C58" t="str">
        <v>Ikhtisar Laba Rugi</v>
      </c>
      <c r="D58" s="153" cm="1">
        <f t="array" ref="D58">_xlfn.IFS(OR(LEFT(B58,1)="1",LEFT(B58,1)="5"),SUMIF(Transaksi2026[[#All],[Keterangan]],'Neraca Saldo 2026'!C58,Transaksi2026[[#All],[Debit]])-SUMIF(Transaksi2026[[#All],[Keterangan]],"   "&amp;'Neraca Saldo 2026'!C58,Transaksi2026[[#All],[Kredit]]),OR(LEFT(B58,1)="2",LEFT(B58,1)="3",LEFT(B58,1)="4"),SUMIF(Transaksi2026[[#All],[Keterangan]],"   "&amp;'Neraca Saldo 2026'!C58,Transaksi2026[[#All],[Kredit]])-SUMIF(Transaksi2026[[#All],[Keterangan]],'Neraca Saldo 2026'!C58,Transaksi2026[[#All],[Debit]]))</f>
        <v>0</v>
      </c>
    </row>
    <row r="59" spans="2:7">
      <c r="B59" t="str" cm="1">
        <f t="array" ref="B59">IFERROR(_xlfn.XLOOKUP(C59,COA[[#All],[Nama Akun]],COA[[#All],[COA]]),"")</f>
        <v/>
      </c>
      <c r="D59" s="153"/>
    </row>
    <row r="60" spans="2:7">
      <c r="B60" t="str" cm="1">
        <f t="array" ref="B60">IFERROR(_xlfn.XLOOKUP(C60,COA[[#All],[Nama Akun]],COA[[#All],[COA]]),"")</f>
        <v/>
      </c>
      <c r="D60" s="108"/>
    </row>
    <row r="61" spans="2:7">
      <c r="B61" t="str" cm="1">
        <f t="array" ref="B61">IFERROR(_xlfn.XLOOKUP(C61,COA[[#All],[Nama Akun]],COA[[#All],[COA]]),"")</f>
        <v/>
      </c>
      <c r="D61" s="108"/>
    </row>
    <row r="62" spans="2:7">
      <c r="B62" t="str" cm="1">
        <f t="array" ref="B62">IFERROR(_xlfn.XLOOKUP(C62,COA[[#All],[Nama Akun]],COA[[#All],[COA]]),"")</f>
        <v/>
      </c>
      <c r="D62" s="108"/>
    </row>
    <row r="63" spans="2:7">
      <c r="B63" t="str" cm="1">
        <f t="array" ref="B63">IFERROR(_xlfn.XLOOKUP(C63,COA[[#All],[Nama Akun]],COA[[#All],[COA]]),"")</f>
        <v/>
      </c>
      <c r="D63" s="108"/>
    </row>
    <row r="64" spans="2:7">
      <c r="B64" t="str" cm="1">
        <f t="array" ref="B64">IFERROR(_xlfn.XLOOKUP(C64,COA[[#All],[Nama Akun]],COA[[#All],[COA]]),"")</f>
        <v/>
      </c>
      <c r="D64" s="108"/>
    </row>
    <row r="65" spans="2:4">
      <c r="B65" t="str" cm="1">
        <f t="array" ref="B65">IFERROR(_xlfn.XLOOKUP(C65,COA[[#All],[Nama Akun]],COA[[#All],[COA]]),"")</f>
        <v/>
      </c>
      <c r="D65" s="108"/>
    </row>
    <row r="66" spans="2:4">
      <c r="B66" t="str" cm="1">
        <f t="array" ref="B66">IFERROR(_xlfn.XLOOKUP(C66,COA[[#All],[Nama Akun]],COA[[#All],[COA]]),"")</f>
        <v/>
      </c>
      <c r="D66" s="108"/>
    </row>
    <row r="67" spans="2:4">
      <c r="B67" t="str" cm="1">
        <f t="array" ref="B67">IFERROR(_xlfn.XLOOKUP(C67,COA[[#All],[Nama Akun]],COA[[#All],[COA]]),"")</f>
        <v/>
      </c>
      <c r="D67" s="108"/>
    </row>
    <row r="68" spans="2:4">
      <c r="B68" t="str" cm="1">
        <f t="array" ref="B68">IFERROR(_xlfn.XLOOKUP(C68,COA[[#All],[Nama Akun]],COA[[#All],[COA]]),"")</f>
        <v/>
      </c>
      <c r="D68" s="108"/>
    </row>
    <row r="69" spans="2:4">
      <c r="B69" t="str" cm="1">
        <f t="array" ref="B69">IFERROR(_xlfn.XLOOKUP(C69,COA[[#All],[Nama Akun]],COA[[#All],[COA]]),"")</f>
        <v/>
      </c>
      <c r="D69" s="108"/>
    </row>
    <row r="70" spans="2:4">
      <c r="B70" t="str" cm="1">
        <f t="array" ref="B70">IFERROR(_xlfn.XLOOKUP(C70,COA[[#All],[Nama Akun]],COA[[#All],[COA]]),"")</f>
        <v/>
      </c>
      <c r="D70" s="108"/>
    </row>
    <row r="71" spans="2:4">
      <c r="B71" t="str" cm="1">
        <f t="array" ref="B71">IFERROR(_xlfn.XLOOKUP(C71,COA[[#All],[Nama Akun]],COA[[#All],[COA]]),"")</f>
        <v/>
      </c>
      <c r="D71" s="108"/>
    </row>
    <row r="72" spans="2:4">
      <c r="B72" t="str" cm="1">
        <f t="array" ref="B72">IFERROR(_xlfn.XLOOKUP(C72,COA[[#All],[Nama Akun]],COA[[#All],[COA]]),"")</f>
        <v/>
      </c>
      <c r="D72" s="108"/>
    </row>
    <row r="73" spans="2:4">
      <c r="B73" t="str" cm="1">
        <f t="array" ref="B73">IFERROR(_xlfn.XLOOKUP(C73,COA[[#All],[Nama Akun]],COA[[#All],[COA]]),"")</f>
        <v/>
      </c>
      <c r="D73" s="108"/>
    </row>
    <row r="74" spans="2:4">
      <c r="B74" t="str" cm="1">
        <f t="array" ref="B74">IFERROR(_xlfn.XLOOKUP(C74,COA[[#All],[Nama Akun]],COA[[#All],[COA]]),"")</f>
        <v/>
      </c>
      <c r="D74" s="108"/>
    </row>
    <row r="75" spans="2:4">
      <c r="B75" t="str" cm="1">
        <f t="array" ref="B75">IFERROR(_xlfn.XLOOKUP(C75,COA[[#All],[Nama Akun]],COA[[#All],[COA]]),"")</f>
        <v/>
      </c>
      <c r="D75" s="108"/>
    </row>
    <row r="76" spans="2:4">
      <c r="B76" t="str" cm="1">
        <f t="array" ref="B76">IFERROR(_xlfn.XLOOKUP(C76,COA[[#All],[Nama Akun]],COA[[#All],[COA]]),"")</f>
        <v/>
      </c>
      <c r="D76" s="108"/>
    </row>
    <row r="77" spans="2:4">
      <c r="B77" t="str" cm="1">
        <f t="array" ref="B77">IFERROR(_xlfn.XLOOKUP(C77,COA[[#All],[Nama Akun]],COA[[#All],[COA]]),"")</f>
        <v/>
      </c>
      <c r="D77" s="108"/>
    </row>
    <row r="78" spans="2:4">
      <c r="B78" t="str" cm="1">
        <f t="array" ref="B78">IFERROR(_xlfn.XLOOKUP(C78,COA[[#All],[Nama Akun]],COA[[#All],[COA]]),"")</f>
        <v/>
      </c>
      <c r="D78" s="108"/>
    </row>
    <row r="79" spans="2:4">
      <c r="B79" t="str" cm="1">
        <f t="array" ref="B79">IFERROR(_xlfn.XLOOKUP(C79,COA[[#All],[Nama Akun]],COA[[#All],[COA]]),"")</f>
        <v/>
      </c>
      <c r="D79" s="108"/>
    </row>
    <row r="80" spans="2:4">
      <c r="B80" t="str" cm="1">
        <f t="array" ref="B80">IFERROR(_xlfn.XLOOKUP(C80,COA[[#All],[Nama Akun]],COA[[#All],[COA]]),"")</f>
        <v/>
      </c>
      <c r="D80" s="108"/>
    </row>
    <row r="81" spans="2:4">
      <c r="B81" t="str" cm="1">
        <f t="array" ref="B81">IFERROR(_xlfn.XLOOKUP(C81,COA[[#All],[Nama Akun]],COA[[#All],[COA]]),"")</f>
        <v/>
      </c>
      <c r="D81" s="108"/>
    </row>
    <row r="82" spans="2:4">
      <c r="B82" t="str" cm="1">
        <f t="array" ref="B82">IFERROR(_xlfn.XLOOKUP(C82,COA[[#All],[Nama Akun]],COA[[#All],[COA]]),"")</f>
        <v/>
      </c>
      <c r="D82" s="108"/>
    </row>
    <row r="83" spans="2:4">
      <c r="B83" t="str" cm="1">
        <f t="array" ref="B83">IFERROR(_xlfn.XLOOKUP(C83,COA[[#All],[Nama Akun]],COA[[#All],[COA]]),"")</f>
        <v/>
      </c>
      <c r="D83" s="108"/>
    </row>
    <row r="84" spans="2:4">
      <c r="B84" t="str" cm="1">
        <f t="array" ref="B84">IFERROR(_xlfn.XLOOKUP(C84,COA[[#All],[Nama Akun]],COA[[#All],[COA]]),"")</f>
        <v/>
      </c>
      <c r="D84" s="108"/>
    </row>
    <row r="85" spans="2:4">
      <c r="B85" t="str" cm="1">
        <f t="array" ref="B85">IFERROR(_xlfn.XLOOKUP(C85,COA[[#All],[Nama Akun]],COA[[#All],[COA]]),"")</f>
        <v/>
      </c>
      <c r="D85" s="108"/>
    </row>
    <row r="86" spans="2:4">
      <c r="B86" t="str" cm="1">
        <f t="array" ref="B86">IFERROR(_xlfn.XLOOKUP(C86,COA[[#All],[Nama Akun]],COA[[#All],[COA]]),"")</f>
        <v/>
      </c>
      <c r="D86" s="108"/>
    </row>
    <row r="87" spans="2:4">
      <c r="B87" t="str" cm="1">
        <f t="array" ref="B87">IFERROR(_xlfn.XLOOKUP(C87,COA[[#All],[Nama Akun]],COA[[#All],[COA]]),"")</f>
        <v/>
      </c>
      <c r="D87" s="108"/>
    </row>
    <row r="88" spans="2:4">
      <c r="B88" t="str" cm="1">
        <f t="array" ref="B88">IFERROR(_xlfn.XLOOKUP(C88,COA[[#All],[Nama Akun]],COA[[#All],[COA]]),"")</f>
        <v/>
      </c>
      <c r="D88" s="108"/>
    </row>
    <row r="89" spans="2:4">
      <c r="B89" t="str" cm="1">
        <f t="array" ref="B89">IFERROR(_xlfn.XLOOKUP(C89,COA[[#All],[Nama Akun]],COA[[#All],[COA]]),"")</f>
        <v/>
      </c>
      <c r="D89" s="108"/>
    </row>
    <row r="90" spans="2:4">
      <c r="B90" t="str" cm="1">
        <f t="array" ref="B90">IFERROR(_xlfn.XLOOKUP(C90,COA[[#All],[Nama Akun]],COA[[#All],[COA]]),"")</f>
        <v/>
      </c>
      <c r="D90" s="108"/>
    </row>
    <row r="91" spans="2:4">
      <c r="B91" t="str" cm="1">
        <f t="array" ref="B91">IFERROR(_xlfn.XLOOKUP(C91,COA[[#All],[Nama Akun]],COA[[#All],[COA]]),"")</f>
        <v/>
      </c>
      <c r="D91" s="108"/>
    </row>
    <row r="92" spans="2:4">
      <c r="B92" t="str" cm="1">
        <f t="array" ref="B92">IFERROR(_xlfn.XLOOKUP(C92,COA[[#All],[Nama Akun]],COA[[#All],[COA]]),"")</f>
        <v/>
      </c>
      <c r="D92" s="108"/>
    </row>
    <row r="93" spans="2:4">
      <c r="B93" t="str" cm="1">
        <f t="array" ref="B93">IFERROR(_xlfn.XLOOKUP(C93,COA[[#All],[Nama Akun]],COA[[#All],[COA]]),"")</f>
        <v/>
      </c>
      <c r="D93" s="108"/>
    </row>
    <row r="94" spans="2:4">
      <c r="B94" t="str" cm="1">
        <f t="array" ref="B94">IFERROR(_xlfn.XLOOKUP(C94,COA[[#All],[Nama Akun]],COA[[#All],[COA]]),"")</f>
        <v/>
      </c>
      <c r="D94" s="108"/>
    </row>
    <row r="95" spans="2:4">
      <c r="B95" t="str" cm="1">
        <f t="array" ref="B95">IFERROR(_xlfn.XLOOKUP(C95,COA[[#All],[Nama Akun]],COA[[#All],[COA]]),"")</f>
        <v/>
      </c>
      <c r="D95" s="108"/>
    </row>
    <row r="96" spans="2:4">
      <c r="B96" t="str" cm="1">
        <f t="array" ref="B96">IFERROR(_xlfn.XLOOKUP(C96,COA[[#All],[Nama Akun]],COA[[#All],[COA]]),"")</f>
        <v/>
      </c>
      <c r="D96" s="108"/>
    </row>
    <row r="97" spans="2:4">
      <c r="B97" t="str" cm="1">
        <f t="array" ref="B97">IFERROR(_xlfn.XLOOKUP(C97,COA[[#All],[Nama Akun]],COA[[#All],[COA]]),"")</f>
        <v/>
      </c>
      <c r="D97" s="108"/>
    </row>
    <row r="98" spans="2:4">
      <c r="B98" t="str" cm="1">
        <f t="array" ref="B98">IFERROR(_xlfn.XLOOKUP(C98,COA[[#All],[Nama Akun]],COA[[#All],[COA]]),"")</f>
        <v/>
      </c>
      <c r="D98" s="108"/>
    </row>
    <row r="99" spans="2:4">
      <c r="B99" t="str" cm="1">
        <f t="array" ref="B99">IFERROR(_xlfn.XLOOKUP(C99,COA[[#All],[Nama Akun]],COA[[#All],[COA]]),"")</f>
        <v/>
      </c>
      <c r="D99" s="108"/>
    </row>
    <row r="100" spans="2:4">
      <c r="B100" t="str" cm="1">
        <f t="array" ref="B100">IFERROR(_xlfn.XLOOKUP(C100,COA[[#All],[Nama Akun]],COA[[#All],[COA]]),"")</f>
        <v/>
      </c>
      <c r="D100" s="108"/>
    </row>
    <row r="101" spans="2:4">
      <c r="D101" s="108"/>
    </row>
    <row r="102" spans="2:4">
      <c r="D102" s="108"/>
    </row>
    <row r="103" spans="2:4">
      <c r="D103" s="108"/>
    </row>
    <row r="104" spans="2:4">
      <c r="D104" s="108"/>
    </row>
    <row r="105" spans="2:4">
      <c r="D105" s="108"/>
    </row>
    <row r="106" spans="2:4">
      <c r="D106" s="108"/>
    </row>
    <row r="107" spans="2:4">
      <c r="D107" s="108"/>
    </row>
    <row r="108" spans="2:4">
      <c r="D108" s="108"/>
    </row>
    <row r="109" spans="2:4">
      <c r="D109" s="108"/>
    </row>
    <row r="110" spans="2:4">
      <c r="D110" s="108"/>
    </row>
    <row r="111" spans="2:4">
      <c r="D111" s="108"/>
    </row>
    <row r="112" spans="2:4">
      <c r="D112" s="108"/>
    </row>
    <row r="113" spans="4:4">
      <c r="D113" s="108"/>
    </row>
    <row r="114" spans="4:4">
      <c r="D114" s="108"/>
    </row>
    <row r="115" spans="4:4">
      <c r="D115" s="108"/>
    </row>
    <row r="116" spans="4:4">
      <c r="D116" s="108"/>
    </row>
    <row r="117" spans="4:4">
      <c r="D117" s="108"/>
    </row>
    <row r="118" spans="4:4">
      <c r="D118" s="108"/>
    </row>
    <row r="119" spans="4:4">
      <c r="D119" s="108"/>
    </row>
    <row r="120" spans="4:4">
      <c r="D120" s="108"/>
    </row>
    <row r="121" spans="4:4">
      <c r="D121" s="108"/>
    </row>
    <row r="122" spans="4:4">
      <c r="D122" s="108"/>
    </row>
    <row r="123" spans="4:4">
      <c r="D123" s="108"/>
    </row>
    <row r="124" spans="4:4">
      <c r="D124" s="108"/>
    </row>
    <row r="125" spans="4:4">
      <c r="D125" s="108"/>
    </row>
    <row r="126" spans="4:4">
      <c r="D126" s="108"/>
    </row>
    <row r="127" spans="4:4">
      <c r="D127" s="108"/>
    </row>
    <row r="128" spans="4:4">
      <c r="D128" s="108"/>
    </row>
    <row r="129" spans="4:4">
      <c r="D129" s="108"/>
    </row>
    <row r="130" spans="4:4">
      <c r="D130" s="108"/>
    </row>
    <row r="131" spans="4:4">
      <c r="D131" s="108"/>
    </row>
    <row r="132" spans="4:4">
      <c r="D132" s="108"/>
    </row>
    <row r="133" spans="4:4">
      <c r="D133" s="108"/>
    </row>
    <row r="134" spans="4:4">
      <c r="D134" s="108"/>
    </row>
    <row r="135" spans="4:4">
      <c r="D135" s="108"/>
    </row>
    <row r="136" spans="4:4">
      <c r="D136" s="108"/>
    </row>
    <row r="137" spans="4:4">
      <c r="D137" s="108"/>
    </row>
    <row r="138" spans="4:4">
      <c r="D138" s="108"/>
    </row>
    <row r="139" spans="4:4">
      <c r="D139" s="108"/>
    </row>
    <row r="140" spans="4:4">
      <c r="D140" s="108"/>
    </row>
    <row r="141" spans="4:4">
      <c r="D141" s="108"/>
    </row>
    <row r="142" spans="4:4">
      <c r="D142" s="108"/>
    </row>
    <row r="143" spans="4:4">
      <c r="D143" s="108"/>
    </row>
    <row r="144" spans="4:4">
      <c r="D144" s="108"/>
    </row>
    <row r="145" spans="4:4">
      <c r="D145" s="108"/>
    </row>
    <row r="146" spans="4:4">
      <c r="D146" s="108"/>
    </row>
    <row r="147" spans="4:4">
      <c r="D147" s="108"/>
    </row>
    <row r="148" spans="4:4">
      <c r="D148" s="108"/>
    </row>
    <row r="149" spans="4:4">
      <c r="D149" s="108"/>
    </row>
    <row r="150" spans="4:4">
      <c r="D150" s="108"/>
    </row>
    <row r="151" spans="4:4">
      <c r="D151" s="108"/>
    </row>
    <row r="152" spans="4:4">
      <c r="D152" s="108"/>
    </row>
    <row r="153" spans="4:4">
      <c r="D153" s="108"/>
    </row>
    <row r="154" spans="4:4">
      <c r="D154" s="108"/>
    </row>
    <row r="155" spans="4:4">
      <c r="D155" s="108"/>
    </row>
    <row r="156" spans="4:4">
      <c r="D156" s="108"/>
    </row>
    <row r="157" spans="4:4">
      <c r="D157" s="108"/>
    </row>
    <row r="158" spans="4:4">
      <c r="D158" s="108"/>
    </row>
    <row r="159" spans="4:4">
      <c r="D159" s="108"/>
    </row>
    <row r="160" spans="4:4">
      <c r="D160" s="108"/>
    </row>
    <row r="161" spans="4:4">
      <c r="D161" s="108"/>
    </row>
    <row r="162" spans="4:4">
      <c r="D162" s="108"/>
    </row>
    <row r="163" spans="4:4">
      <c r="D163" s="108"/>
    </row>
    <row r="164" spans="4:4">
      <c r="D164" s="108"/>
    </row>
    <row r="165" spans="4:4">
      <c r="D165" s="108"/>
    </row>
    <row r="166" spans="4:4">
      <c r="D166" s="108"/>
    </row>
    <row r="167" spans="4:4">
      <c r="D167" s="108"/>
    </row>
    <row r="168" spans="4:4">
      <c r="D168" s="108"/>
    </row>
    <row r="169" spans="4:4">
      <c r="D169" s="108"/>
    </row>
    <row r="170" spans="4:4">
      <c r="D170" s="108"/>
    </row>
    <row r="171" spans="4:4">
      <c r="D171" s="108"/>
    </row>
    <row r="172" spans="4:4">
      <c r="D172" s="108"/>
    </row>
    <row r="173" spans="4:4">
      <c r="D173" s="108"/>
    </row>
    <row r="174" spans="4:4">
      <c r="D174" s="108"/>
    </row>
    <row r="175" spans="4:4">
      <c r="D175" s="108"/>
    </row>
    <row r="176" spans="4:4">
      <c r="D176" s="108"/>
    </row>
    <row r="177" spans="4:4">
      <c r="D177" s="108"/>
    </row>
    <row r="178" spans="4:4">
      <c r="D178" s="108"/>
    </row>
    <row r="179" spans="4:4">
      <c r="D179" s="108"/>
    </row>
    <row r="180" spans="4:4">
      <c r="D180" s="108"/>
    </row>
    <row r="181" spans="4:4">
      <c r="D181" s="108"/>
    </row>
    <row r="182" spans="4:4">
      <c r="D182" s="108"/>
    </row>
    <row r="183" spans="4:4">
      <c r="D183" s="108"/>
    </row>
    <row r="184" spans="4:4">
      <c r="D184" s="108"/>
    </row>
    <row r="185" spans="4:4">
      <c r="D185" s="108"/>
    </row>
    <row r="186" spans="4:4">
      <c r="D186" s="108"/>
    </row>
    <row r="187" spans="4:4">
      <c r="D187" s="108"/>
    </row>
    <row r="188" spans="4:4">
      <c r="D188" s="108"/>
    </row>
    <row r="189" spans="4:4">
      <c r="D189" s="108"/>
    </row>
    <row r="190" spans="4:4">
      <c r="D190" s="108"/>
    </row>
    <row r="191" spans="4:4">
      <c r="D191" s="108"/>
    </row>
    <row r="192" spans="4:4">
      <c r="D192" s="108"/>
    </row>
    <row r="193" spans="4:4">
      <c r="D193" s="108"/>
    </row>
    <row r="194" spans="4:4">
      <c r="D194" s="108"/>
    </row>
    <row r="195" spans="4:4">
      <c r="D195" s="108"/>
    </row>
    <row r="196" spans="4:4">
      <c r="D196" s="108"/>
    </row>
    <row r="197" spans="4:4">
      <c r="D197" s="108"/>
    </row>
    <row r="198" spans="4:4">
      <c r="D198" s="108"/>
    </row>
    <row r="199" spans="4:4">
      <c r="D199" s="108"/>
    </row>
    <row r="200" spans="4:4">
      <c r="D200" s="108"/>
    </row>
    <row r="201" spans="4:4">
      <c r="D201" s="108"/>
    </row>
    <row r="202" spans="4:4">
      <c r="D202" s="108"/>
    </row>
    <row r="203" spans="4:4">
      <c r="D203" s="108"/>
    </row>
    <row r="204" spans="4:4">
      <c r="D204" s="108"/>
    </row>
    <row r="205" spans="4:4">
      <c r="D205" s="108"/>
    </row>
    <row r="206" spans="4:4">
      <c r="D206" s="108"/>
    </row>
    <row r="207" spans="4:4">
      <c r="D207" s="108"/>
    </row>
    <row r="208" spans="4:4">
      <c r="D208" s="108"/>
    </row>
    <row r="209" spans="4:4">
      <c r="D209" s="108"/>
    </row>
    <row r="210" spans="4:4">
      <c r="D210" s="108"/>
    </row>
    <row r="211" spans="4:4">
      <c r="D211" s="108"/>
    </row>
    <row r="212" spans="4:4">
      <c r="D212" s="108"/>
    </row>
    <row r="213" spans="4:4">
      <c r="D213" s="108"/>
    </row>
    <row r="214" spans="4:4">
      <c r="D214" s="108"/>
    </row>
    <row r="215" spans="4:4">
      <c r="D215" s="108"/>
    </row>
    <row r="216" spans="4:4">
      <c r="D216" s="108"/>
    </row>
    <row r="217" spans="4:4">
      <c r="D217" s="108"/>
    </row>
    <row r="218" spans="4:4">
      <c r="D218" s="108"/>
    </row>
    <row r="219" spans="4:4">
      <c r="D219" s="108"/>
    </row>
    <row r="220" spans="4:4">
      <c r="D220" s="108"/>
    </row>
    <row r="221" spans="4:4">
      <c r="D221" s="108"/>
    </row>
    <row r="222" spans="4:4">
      <c r="D222" s="108"/>
    </row>
    <row r="223" spans="4:4">
      <c r="D223" s="108"/>
    </row>
    <row r="224" spans="4:4">
      <c r="D224" s="108"/>
    </row>
    <row r="225" spans="4:4">
      <c r="D225" s="108"/>
    </row>
    <row r="226" spans="4:4">
      <c r="D226" s="108"/>
    </row>
    <row r="227" spans="4:4">
      <c r="D227" s="108"/>
    </row>
    <row r="228" spans="4:4">
      <c r="D228" s="108"/>
    </row>
    <row r="229" spans="4:4">
      <c r="D229" s="108"/>
    </row>
    <row r="230" spans="4:4">
      <c r="D230" s="108"/>
    </row>
    <row r="231" spans="4:4">
      <c r="D231" s="108"/>
    </row>
    <row r="232" spans="4:4">
      <c r="D232" s="108"/>
    </row>
    <row r="233" spans="4:4">
      <c r="D233" s="108"/>
    </row>
    <row r="234" spans="4:4">
      <c r="D234" s="108"/>
    </row>
    <row r="235" spans="4:4">
      <c r="D235" s="108"/>
    </row>
    <row r="236" spans="4:4">
      <c r="D236" s="108"/>
    </row>
    <row r="237" spans="4:4">
      <c r="D237" s="108"/>
    </row>
    <row r="238" spans="4:4">
      <c r="D238" s="108"/>
    </row>
    <row r="239" spans="4:4">
      <c r="D239" s="108"/>
    </row>
    <row r="240" spans="4:4">
      <c r="D240" s="108"/>
    </row>
    <row r="241" spans="4:4">
      <c r="D241" s="108"/>
    </row>
    <row r="242" spans="4:4">
      <c r="D242" s="108"/>
    </row>
    <row r="243" spans="4:4">
      <c r="D243" s="108"/>
    </row>
    <row r="244" spans="4:4">
      <c r="D244" s="108"/>
    </row>
    <row r="245" spans="4:4">
      <c r="D245" s="108"/>
    </row>
    <row r="246" spans="4:4">
      <c r="D246" s="108"/>
    </row>
    <row r="247" spans="4:4">
      <c r="D247" s="108"/>
    </row>
    <row r="248" spans="4:4">
      <c r="D248" s="108"/>
    </row>
    <row r="249" spans="4:4">
      <c r="D249" s="108"/>
    </row>
    <row r="250" spans="4:4">
      <c r="D250" s="108"/>
    </row>
    <row r="251" spans="4:4">
      <c r="D251" s="108"/>
    </row>
    <row r="252" spans="4:4">
      <c r="D252" s="108"/>
    </row>
    <row r="253" spans="4:4">
      <c r="D253" s="108"/>
    </row>
    <row r="254" spans="4:4">
      <c r="D254" s="108"/>
    </row>
    <row r="255" spans="4:4">
      <c r="D255" s="108"/>
    </row>
  </sheetData>
  <pageMargins left="0.7" right="0.7" top="0.75" bottom="0.75" header="0.3" footer="0.3"/>
  <pageSetup paperSize="9" scale="7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93E14-0843-44A6-9023-A8F46837FEE9}">
  <sheetPr>
    <tabColor rgb="FF09C9C8"/>
  </sheetPr>
  <dimension ref="B2:F42"/>
  <sheetViews>
    <sheetView showGridLines="0" showRowColHeaders="0" view="pageBreakPreview" zoomScale="98" zoomScaleNormal="100" zoomScaleSheetLayoutView="98" workbookViewId="0">
      <selection activeCell="F13" sqref="F13"/>
    </sheetView>
  </sheetViews>
  <sheetFormatPr defaultRowHeight="15"/>
  <cols>
    <col min="2" max="2" width="41" bestFit="1" customWidth="1"/>
    <col min="3" max="3" width="18.85546875" bestFit="1" customWidth="1"/>
    <col min="4" max="4" width="8.7109375" bestFit="1" customWidth="1"/>
    <col min="5" max="5" width="13.5703125" bestFit="1" customWidth="1"/>
    <col min="6" max="6" width="41" bestFit="1" customWidth="1"/>
  </cols>
  <sheetData>
    <row r="2" spans="2:6">
      <c r="F2" s="21"/>
    </row>
    <row r="3" spans="2:6">
      <c r="F3" s="21"/>
    </row>
    <row r="5" spans="2:6">
      <c r="B5" s="79" t="s">
        <v>179</v>
      </c>
      <c r="F5" s="79" t="str">
        <f>B5</f>
        <v xml:space="preserve">PT URBANE STITCH INDONESIA (PERSERO)  </v>
      </c>
    </row>
    <row r="6" spans="2:6">
      <c r="B6" s="79" t="s">
        <v>178</v>
      </c>
      <c r="F6" s="79" t="s">
        <v>181</v>
      </c>
    </row>
    <row r="7" spans="2:6">
      <c r="B7" s="79" t="s">
        <v>177</v>
      </c>
      <c r="F7" s="79" t="s">
        <v>180</v>
      </c>
    </row>
    <row r="8" spans="2:6">
      <c r="C8" s="67"/>
    </row>
    <row r="9" spans="2:6">
      <c r="C9" s="4" t="s">
        <v>458</v>
      </c>
      <c r="D9" s="4" t="s">
        <v>189</v>
      </c>
      <c r="E9" s="4" t="s">
        <v>456</v>
      </c>
    </row>
    <row r="10" spans="2:6">
      <c r="C10" s="84" t="s">
        <v>459</v>
      </c>
      <c r="D10" s="84" t="s">
        <v>190</v>
      </c>
      <c r="E10" s="84" t="s">
        <v>457</v>
      </c>
    </row>
    <row r="12" spans="2:6">
      <c r="B12" s="4" t="s">
        <v>209</v>
      </c>
      <c r="C12">
        <v>2026</v>
      </c>
      <c r="E12">
        <v>2025</v>
      </c>
      <c r="F12" s="77" t="s">
        <v>210</v>
      </c>
    </row>
    <row r="13" spans="2:6">
      <c r="B13" t="str">
        <f>'Neraca Saldo 2026'!C40</f>
        <v>Penjualan Produk Garment</v>
      </c>
      <c r="C13" s="1">
        <f>IFERROR(_xlfn.XLOOKUP($B13,'Neraca Saldo 2026'!C:C,'Neraca Saldo 2026'!D:D),0)</f>
        <v>53239904</v>
      </c>
      <c r="E13" s="1">
        <f>IFERROR(_xlfn.XLOOKUP($B13,'Neraca Saldo'!C:C,'Neraca Saldo'!D:D),0)</f>
        <v>33046205.454545453</v>
      </c>
      <c r="F13" s="78" t="str">
        <f>_xlfn.XLOOKUP(B13,COA[Nama Akun],COA[Account Name])</f>
        <v xml:space="preserve"> Garment Sales Revenue</v>
      </c>
    </row>
    <row r="14" spans="2:6">
      <c r="B14" t="str">
        <f>'Neraca Saldo 2026'!C41</f>
        <v>Diskon Penjualan</v>
      </c>
      <c r="C14" s="1">
        <f>IFERROR(_xlfn.XLOOKUP($B14,'Neraca Saldo 2026'!C:C,'Neraca Saldo 2026'!D:D),0)</f>
        <v>405610</v>
      </c>
      <c r="E14" s="1">
        <f>IFERROR(_xlfn.XLOOKUP($B14,'Neraca Saldo'!C:C,'Neraca Saldo'!D:D),0)</f>
        <v>-409963</v>
      </c>
      <c r="F14" s="78" t="str">
        <f>_xlfn.XLOOKUP(B14,COA[Nama Akun],COA[Account Name])</f>
        <v>Sales Discount</v>
      </c>
    </row>
    <row r="15" spans="2:6">
      <c r="B15" t="str">
        <f>'Neraca Saldo 2026'!C42</f>
        <v>Retur Penjualan</v>
      </c>
      <c r="C15" s="1">
        <f>IFERROR(_xlfn.XLOOKUP($B15,'Neraca Saldo 2026'!C:C,'Neraca Saldo 2026'!D:D),0)</f>
        <v>-19338380</v>
      </c>
      <c r="E15" s="1">
        <f>IFERROR(_xlfn.XLOOKUP($B15,'Neraca Saldo'!C:C,'Neraca Saldo'!D:D),0)</f>
        <v>-1880388.888888889</v>
      </c>
      <c r="F15" s="78" t="str">
        <f>_xlfn.XLOOKUP(B15,COA[Nama Akun],COA[Account Name])</f>
        <v>Sales Returns</v>
      </c>
    </row>
    <row r="16" spans="2:6">
      <c r="B16" t="str">
        <f>'Neraca Saldo 2026'!C43</f>
        <v>Pendapatan Lain-lain</v>
      </c>
      <c r="C16" s="1">
        <f>IFERROR(_xlfn.XLOOKUP($B16,'Neraca Saldo 2026'!C:C,'Neraca Saldo 2026'!D:D),0)</f>
        <v>31976722.859128028</v>
      </c>
      <c r="E16" s="1">
        <f>IFERROR(_xlfn.XLOOKUP($B16,'Neraca Saldo'!C:C,'Neraca Saldo'!D:D),0)</f>
        <v>0</v>
      </c>
      <c r="F16" s="78" t="str">
        <f>_xlfn.XLOOKUP(B16,COA[Nama Akun],COA[Account Name])</f>
        <v>Others revenue</v>
      </c>
    </row>
    <row r="17" spans="2:6">
      <c r="B17" t="str">
        <f>'Neraca Saldo 2026'!C44</f>
        <v>Pendapatan Bunga</v>
      </c>
      <c r="C17" s="1">
        <f>IFERROR(_xlfn.XLOOKUP($B17,'Neraca Saldo 2026'!C:C,'Neraca Saldo 2026'!D:D),0)</f>
        <v>419543.24723230896</v>
      </c>
      <c r="E17" s="1">
        <f>IFERROR(_xlfn.XLOOKUP($B17,'Neraca Saldo'!C:C,'Neraca Saldo'!D:D),0)</f>
        <v>0</v>
      </c>
      <c r="F17" s="78" t="str">
        <f>_xlfn.XLOOKUP(B17,COA[Nama Akun],COA[Account Name])</f>
        <v>Interest Revebue</v>
      </c>
    </row>
    <row r="18" spans="2:6">
      <c r="B18" s="4" t="s">
        <v>212</v>
      </c>
      <c r="C18" s="85">
        <f>SUM(C13:C17)</f>
        <v>66703400.106360339</v>
      </c>
      <c r="E18" s="85">
        <f>SUM(E13:E17)</f>
        <v>30755853.565656565</v>
      </c>
      <c r="F18" s="77" t="s">
        <v>215</v>
      </c>
    </row>
    <row r="19" spans="2:6">
      <c r="C19" s="1"/>
      <c r="E19" s="1"/>
      <c r="F19" s="78"/>
    </row>
    <row r="20" spans="2:6">
      <c r="B20" s="4" t="s">
        <v>214</v>
      </c>
      <c r="C20" s="1"/>
      <c r="E20" s="1"/>
      <c r="F20" s="77" t="s">
        <v>216</v>
      </c>
    </row>
    <row r="21" spans="2:6">
      <c r="B21" t="str">
        <f>'Neraca Saldo 2026'!C45</f>
        <v>Beban Bahan Baku</v>
      </c>
      <c r="C21" s="1">
        <f>IFERROR(_xlfn.XLOOKUP($B21,'Neraca Saldo 2026'!C:C,'Neraca Saldo 2026'!D:D),0)</f>
        <v>0</v>
      </c>
      <c r="E21" s="1">
        <f>IFERROR(_xlfn.XLOOKUP($B21,'Neraca Saldo'!C:C,'Neraca Saldo'!D:D),0)</f>
        <v>0</v>
      </c>
      <c r="F21" s="78" t="str">
        <f>_xlfn.XLOOKUP(B21,COA[Nama Akun],COA[Account Name])</f>
        <v xml:space="preserve"> Raw Material Expenses</v>
      </c>
    </row>
    <row r="22" spans="2:6">
      <c r="B22" t="str">
        <f>'Neraca Saldo 2026'!C46</f>
        <v>Beban Tenaga Kerja Langsung</v>
      </c>
      <c r="C22" s="1">
        <f>IFERROR(_xlfn.XLOOKUP($B22,'Neraca Saldo 2026'!C:C,'Neraca Saldo 2026'!D:D),0)</f>
        <v>2400000</v>
      </c>
      <c r="E22" s="1">
        <f>IFERROR(_xlfn.XLOOKUP($B22,'Neraca Saldo'!C:C,'Neraca Saldo'!D:D),0)</f>
        <v>4200000</v>
      </c>
      <c r="F22" s="78" t="str">
        <f>_xlfn.XLOOKUP(B22,COA[Nama Akun],COA[Account Name])</f>
        <v xml:space="preserve"> Direct Labor Expenses</v>
      </c>
    </row>
    <row r="23" spans="2:6">
      <c r="B23" t="str">
        <f>'Neraca Saldo 2026'!C47</f>
        <v>Beban Overhead Pabrik</v>
      </c>
      <c r="C23" s="1">
        <f>IFERROR(_xlfn.XLOOKUP($B23,'Neraca Saldo 2026'!C:C,'Neraca Saldo 2026'!D:D),0)</f>
        <v>0</v>
      </c>
      <c r="E23" s="1">
        <f>IFERROR(_xlfn.XLOOKUP($B23,'Neraca Saldo'!C:C,'Neraca Saldo'!D:D),0)</f>
        <v>0</v>
      </c>
      <c r="F23" s="78" t="str">
        <f>_xlfn.XLOOKUP(B23,COA[Nama Akun],COA[Account Name])</f>
        <v xml:space="preserve"> Factory Overhead Expenses</v>
      </c>
    </row>
    <row r="24" spans="2:6">
      <c r="B24" t="str">
        <f>'Neraca Saldo 2026'!C48</f>
        <v>Beban Utilitas</v>
      </c>
      <c r="C24" s="1">
        <f>IFERROR(_xlfn.XLOOKUP($B24,'Neraca Saldo 2026'!C:C,'Neraca Saldo 2026'!D:D),0)</f>
        <v>440000</v>
      </c>
      <c r="E24" s="1">
        <f>IFERROR(_xlfn.XLOOKUP($B24,'Neraca Saldo'!C:C,'Neraca Saldo'!D:D),0)</f>
        <v>770000</v>
      </c>
      <c r="F24" s="78" t="str">
        <f>_xlfn.XLOOKUP(B24,COA[Nama Akun],COA[Account Name])</f>
        <v xml:space="preserve"> Electricity &amp; Water Expenses</v>
      </c>
    </row>
    <row r="25" spans="2:6">
      <c r="B25" t="str">
        <f>'Neraca Saldo 2026'!C49</f>
        <v>Beban Penyusutan</v>
      </c>
      <c r="C25" s="1">
        <f>IFERROR(_xlfn.XLOOKUP($B25,'Neraca Saldo 2026'!C:C,'Neraca Saldo 2026'!D:D),0)</f>
        <v>0</v>
      </c>
      <c r="E25" s="1">
        <f>IFERROR(_xlfn.XLOOKUP($B25,'Neraca Saldo'!C:C,'Neraca Saldo'!D:D),0)</f>
        <v>400000</v>
      </c>
      <c r="F25" s="78" t="str">
        <f>_xlfn.XLOOKUP(B25,COA[Nama Akun],COA[Account Name])</f>
        <v xml:space="preserve"> Depreciation Expenses</v>
      </c>
    </row>
    <row r="26" spans="2:6">
      <c r="B26" t="str">
        <f>'Neraca Saldo 2026'!C50</f>
        <v>Beban Pemasaran &amp; Iklan</v>
      </c>
      <c r="C26" s="1">
        <f>IFERROR(_xlfn.XLOOKUP($B26,'Neraca Saldo 2026'!C:C,'Neraca Saldo 2026'!D:D),0)</f>
        <v>16240217.6</v>
      </c>
      <c r="E26" s="1">
        <f>IFERROR(_xlfn.XLOOKUP($B26,'Neraca Saldo'!C:C,'Neraca Saldo'!D:D),0)</f>
        <v>0</v>
      </c>
      <c r="F26" s="78" t="str">
        <f>_xlfn.XLOOKUP(B26,COA[Nama Akun],COA[Account Name])</f>
        <v xml:space="preserve"> Marketing &amp; Advertising Expenses</v>
      </c>
    </row>
    <row r="27" spans="2:6">
      <c r="B27" t="str">
        <f>'Neraca Saldo 2026'!C51</f>
        <v>Beban Administrasi &amp; Umum</v>
      </c>
      <c r="C27" s="1">
        <f>IFERROR(_xlfn.XLOOKUP($B27,'Neraca Saldo 2026'!C:C,'Neraca Saldo 2026'!D:D),0)</f>
        <v>0</v>
      </c>
      <c r="E27" s="1">
        <f>IFERROR(_xlfn.XLOOKUP($B27,'Neraca Saldo'!C:C,'Neraca Saldo'!D:D),0)</f>
        <v>0</v>
      </c>
      <c r="F27" s="78" t="str">
        <f>_xlfn.XLOOKUP(B27,COA[Nama Akun],COA[Account Name])</f>
        <v xml:space="preserve"> Administrative &amp; General Expenses</v>
      </c>
    </row>
    <row r="28" spans="2:6">
      <c r="B28" t="str">
        <f>'Neraca Saldo 2026'!C52</f>
        <v>Beban Sewa</v>
      </c>
      <c r="C28" s="1">
        <f>IFERROR(_xlfn.XLOOKUP($B28,'Neraca Saldo 2026'!C:C,'Neraca Saldo 2026'!D:D),0)</f>
        <v>0</v>
      </c>
      <c r="E28" s="1">
        <f>IFERROR(_xlfn.XLOOKUP($B28,'Neraca Saldo'!C:C,'Neraca Saldo'!D:D),0)</f>
        <v>0</v>
      </c>
      <c r="F28" s="78" t="str">
        <f>_xlfn.XLOOKUP(B28,COA[Nama Akun],COA[Account Name])</f>
        <v xml:space="preserve"> Rent Expenses</v>
      </c>
    </row>
    <row r="29" spans="2:6">
      <c r="B29" t="str">
        <f>'Neraca Saldo 2026'!C53</f>
        <v>Beban Pokok Penjualan</v>
      </c>
      <c r="C29" s="1">
        <f>IFERROR(_xlfn.XLOOKUP($B29,'Neraca Saldo 2026'!C:C,'Neraca Saldo 2026'!D:D),0)</f>
        <v>21647222.901002511</v>
      </c>
      <c r="E29" s="1">
        <f>IFERROR(_xlfn.XLOOKUP($B29,'Neraca Saldo'!C:C,'Neraca Saldo'!D:D),0)</f>
        <v>13565595.568567436</v>
      </c>
      <c r="F29" s="78" t="str">
        <f>_xlfn.XLOOKUP(B29,COA[Nama Akun],COA[Account Name])</f>
        <v>Sales Expense</v>
      </c>
    </row>
    <row r="30" spans="2:6">
      <c r="B30" t="str">
        <f>'Neraca Saldo 2026'!C54</f>
        <v>Beban Bunga</v>
      </c>
      <c r="C30" s="1">
        <f>IFERROR(_xlfn.XLOOKUP($B30,'Neraca Saldo 2026'!C:C,'Neraca Saldo 2026'!D:D),0)</f>
        <v>930855.45564537984</v>
      </c>
      <c r="E30" s="1">
        <f>IFERROR(_xlfn.XLOOKUP($B30,'Neraca Saldo'!C:C,'Neraca Saldo'!D:D),0)</f>
        <v>0</v>
      </c>
      <c r="F30" s="78" t="str">
        <f>_xlfn.XLOOKUP(B30,COA[Nama Akun],COA[Account Name])</f>
        <v>Interest Expense</v>
      </c>
    </row>
    <row r="31" spans="2:6">
      <c r="B31" t="str">
        <f>'Neraca Saldo 2026'!C55</f>
        <v>Retur Pembelian</v>
      </c>
      <c r="C31" s="1">
        <f>IFERROR(_xlfn.XLOOKUP($B31,'Neraca Saldo 2026'!C:C,'Neraca Saldo 2026'!D:D),0)</f>
        <v>0</v>
      </c>
      <c r="E31" s="1">
        <f>IFERROR(_xlfn.XLOOKUP($B31,'Neraca Saldo'!C:C,'Neraca Saldo'!D:D),0)</f>
        <v>0</v>
      </c>
      <c r="F31" s="78" t="str">
        <f>_xlfn.XLOOKUP(B31,COA[Nama Akun],COA[Account Name])</f>
        <v>Purchase Returns</v>
      </c>
    </row>
    <row r="32" spans="2:6">
      <c r="B32" t="str">
        <f>'Neraca Saldo 2026'!C57</f>
        <v>Beban Pensiun</v>
      </c>
      <c r="C32" s="1">
        <f>IFERROR(_xlfn.XLOOKUP($B32,'Neraca Saldo 2026'!C:C,'Neraca Saldo 2026'!D:D),0)</f>
        <v>243.28907254999078</v>
      </c>
      <c r="E32" s="1">
        <f>IFERROR(_xlfn.XLOOKUP($B32,'Neraca Saldo'!C:C,'Neraca Saldo'!D:D),0)</f>
        <v>0</v>
      </c>
      <c r="F32" s="78" t="str">
        <f>_xlfn.XLOOKUP(B32,COA[Nama Akun],COA[Account Name])</f>
        <v>Pension Expense</v>
      </c>
    </row>
    <row r="33" spans="2:6">
      <c r="B33" s="4" t="s">
        <v>213</v>
      </c>
      <c r="C33" s="85">
        <f>SUM(C21:C32)</f>
        <v>41658539.245720446</v>
      </c>
      <c r="E33" s="85">
        <f>SUM(E21:E32)</f>
        <v>18935595.568567436</v>
      </c>
      <c r="F33" s="77" t="str">
        <f>"TOTAL"&amp;" "&amp;F20</f>
        <v>TOTAL COST OF SALES AND OTHER COST</v>
      </c>
    </row>
    <row r="34" spans="2:6">
      <c r="B34" s="4" t="s">
        <v>217</v>
      </c>
      <c r="C34" s="85">
        <f>C18-C33</f>
        <v>25044860.860639893</v>
      </c>
      <c r="E34" s="85">
        <f>E18-E33</f>
        <v>11820257.997089129</v>
      </c>
      <c r="F34" s="77" t="s">
        <v>218</v>
      </c>
    </row>
    <row r="35" spans="2:6">
      <c r="B35" t="str">
        <f>'Neraca Saldo 2026'!C56</f>
        <v>Beban Pph Badan</v>
      </c>
      <c r="C35" s="1"/>
      <c r="E35" s="1">
        <f>0.5%*E13</f>
        <v>165231.02727272728</v>
      </c>
      <c r="F35" s="78" t="str">
        <f>_xlfn.XLOOKUP(B35,COA[Nama Akun],COA[Account Name])</f>
        <v>Income Tax Expense</v>
      </c>
    </row>
    <row r="36" spans="2:6">
      <c r="B36" s="4" t="s">
        <v>220</v>
      </c>
      <c r="C36" s="85">
        <f>C34+C35+'Neraca Saldo 2026'!D36</f>
        <v>25044860.860639893</v>
      </c>
      <c r="E36" s="85">
        <f>E34-E35</f>
        <v>11655026.969816402</v>
      </c>
      <c r="F36" s="77" t="s">
        <v>221</v>
      </c>
    </row>
    <row r="40" spans="2:6">
      <c r="B40" s="19" t="s">
        <v>222</v>
      </c>
      <c r="F40" s="19" t="s">
        <v>225</v>
      </c>
    </row>
    <row r="41" spans="2:6">
      <c r="B41" s="19" t="s">
        <v>223</v>
      </c>
      <c r="F41" s="19" t="s">
        <v>226</v>
      </c>
    </row>
    <row r="42" spans="2:6">
      <c r="B42" s="19" t="s">
        <v>224</v>
      </c>
      <c r="F42" s="19" t="s">
        <v>227</v>
      </c>
    </row>
  </sheetData>
  <pageMargins left="0.7" right="0.7" top="0.75" bottom="0.75" header="0.3" footer="0.3"/>
  <pageSetup paperSize="9" scale="58"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AA8E5-B2E5-4244-BF31-2E02D237DD34}">
  <sheetPr>
    <tabColor rgb="FF09C9C8"/>
  </sheetPr>
  <dimension ref="C2:G31"/>
  <sheetViews>
    <sheetView showGridLines="0" showRowColHeaders="0" view="pageBreakPreview" zoomScale="98" zoomScaleNormal="100" zoomScaleSheetLayoutView="98" workbookViewId="0">
      <selection activeCell="D24" sqref="D24"/>
    </sheetView>
  </sheetViews>
  <sheetFormatPr defaultRowHeight="15"/>
  <cols>
    <col min="3" max="3" width="41" bestFit="1" customWidth="1"/>
    <col min="4" max="4" width="13.5703125" bestFit="1" customWidth="1"/>
    <col min="5" max="5" width="8.7109375" bestFit="1" customWidth="1"/>
    <col min="6" max="6" width="13.5703125" bestFit="1" customWidth="1"/>
    <col min="7" max="7" width="20.7109375" customWidth="1"/>
  </cols>
  <sheetData>
    <row r="2" spans="3:7">
      <c r="G2" s="21"/>
    </row>
    <row r="3" spans="3:7">
      <c r="G3" s="21"/>
    </row>
    <row r="5" spans="3:7">
      <c r="C5" s="79" t="s">
        <v>179</v>
      </c>
      <c r="G5" s="79" t="str">
        <f>C5</f>
        <v xml:space="preserve">PT URBANE STITCH INDONESIA (PERSERO)  </v>
      </c>
    </row>
    <row r="6" spans="3:7">
      <c r="C6" s="79" t="s">
        <v>480</v>
      </c>
      <c r="G6" s="79" t="s">
        <v>290</v>
      </c>
    </row>
    <row r="7" spans="3:7">
      <c r="C7" s="79" t="s">
        <v>437</v>
      </c>
      <c r="G7" s="79" t="s">
        <v>517</v>
      </c>
    </row>
    <row r="8" spans="3:7">
      <c r="D8" s="67"/>
    </row>
    <row r="12" spans="3:7" ht="30">
      <c r="C12" s="90" t="s">
        <v>0</v>
      </c>
      <c r="D12" s="90" t="s">
        <v>291</v>
      </c>
      <c r="E12" s="90" t="s">
        <v>292</v>
      </c>
      <c r="F12" s="90" t="s">
        <v>293</v>
      </c>
      <c r="G12" s="90" t="s">
        <v>294</v>
      </c>
    </row>
    <row r="13" spans="3:7" hidden="1">
      <c r="C13" s="91" t="s">
        <v>299</v>
      </c>
      <c r="D13" s="101">
        <v>18000000</v>
      </c>
      <c r="E13" s="101">
        <v>0</v>
      </c>
      <c r="F13" s="101">
        <v>0</v>
      </c>
      <c r="G13" s="101">
        <f>SUM(D13:F13)</f>
        <v>18000000</v>
      </c>
    </row>
    <row r="14" spans="3:7" hidden="1">
      <c r="C14" s="91" t="s">
        <v>295</v>
      </c>
      <c r="D14" s="101"/>
      <c r="E14" s="101"/>
      <c r="F14" s="101">
        <f>LR!E36</f>
        <v>11655026.969816402</v>
      </c>
      <c r="G14" s="101">
        <f t="shared" ref="G14:G23" si="0">SUM(D14:F14)</f>
        <v>11655026.969816402</v>
      </c>
    </row>
    <row r="15" spans="3:7" hidden="1">
      <c r="C15" s="91" t="s">
        <v>296</v>
      </c>
      <c r="D15" s="101"/>
      <c r="E15" s="101"/>
      <c r="F15" s="101">
        <v>0</v>
      </c>
      <c r="G15" s="101">
        <f t="shared" si="0"/>
        <v>0</v>
      </c>
    </row>
    <row r="16" spans="3:7" hidden="1">
      <c r="C16" s="91" t="s">
        <v>297</v>
      </c>
      <c r="D16" s="101">
        <v>0</v>
      </c>
      <c r="E16" s="101">
        <v>0</v>
      </c>
      <c r="F16" s="101"/>
      <c r="G16" s="101">
        <f t="shared" si="0"/>
        <v>0</v>
      </c>
    </row>
    <row r="17" spans="3:7" hidden="1">
      <c r="C17" s="91" t="s">
        <v>298</v>
      </c>
      <c r="D17" s="101"/>
      <c r="E17" s="101"/>
      <c r="F17" s="101">
        <v>0</v>
      </c>
      <c r="G17" s="101">
        <f t="shared" si="0"/>
        <v>0</v>
      </c>
    </row>
    <row r="18" spans="3:7" hidden="1">
      <c r="C18" s="93" t="s">
        <v>439</v>
      </c>
      <c r="D18" s="101">
        <f>SUM(D13:D17)</f>
        <v>18000000</v>
      </c>
      <c r="E18" s="101">
        <f t="shared" ref="E18:F18" si="1">SUM(E13:E17)</f>
        <v>0</v>
      </c>
      <c r="F18" s="101">
        <f t="shared" si="1"/>
        <v>11655026.969816402</v>
      </c>
      <c r="G18" s="101">
        <f t="shared" si="0"/>
        <v>29655026.969816402</v>
      </c>
    </row>
    <row r="19" spans="3:7">
      <c r="C19" s="91" t="s">
        <v>518</v>
      </c>
      <c r="D19" s="3">
        <f>D18</f>
        <v>18000000</v>
      </c>
      <c r="G19" s="101">
        <f>SUM(D19:F19)</f>
        <v>18000000</v>
      </c>
    </row>
    <row r="20" spans="3:7">
      <c r="C20" s="91" t="s">
        <v>295</v>
      </c>
      <c r="F20" s="3">
        <f>LR!C36</f>
        <v>25044860.860639893</v>
      </c>
      <c r="G20" s="101">
        <f t="shared" si="0"/>
        <v>25044860.860639893</v>
      </c>
    </row>
    <row r="21" spans="3:7">
      <c r="C21" s="91" t="s">
        <v>296</v>
      </c>
      <c r="G21" s="101">
        <f t="shared" si="0"/>
        <v>0</v>
      </c>
    </row>
    <row r="22" spans="3:7">
      <c r="C22" s="91" t="s">
        <v>297</v>
      </c>
      <c r="G22" s="101">
        <f t="shared" si="0"/>
        <v>0</v>
      </c>
    </row>
    <row r="23" spans="3:7">
      <c r="C23" s="91" t="s">
        <v>298</v>
      </c>
      <c r="G23" s="101">
        <f t="shared" si="0"/>
        <v>0</v>
      </c>
    </row>
    <row r="24" spans="3:7">
      <c r="C24" s="93" t="s">
        <v>519</v>
      </c>
      <c r="D24" s="101">
        <f>SUM(D19:D23)</f>
        <v>18000000</v>
      </c>
      <c r="E24" s="101">
        <f t="shared" ref="E24:F24" si="2">SUM(E19:E23)</f>
        <v>0</v>
      </c>
      <c r="F24" s="101">
        <f t="shared" si="2"/>
        <v>25044860.860639893</v>
      </c>
      <c r="G24" s="101">
        <f t="shared" ref="G24" si="3">SUM(D24:F24)</f>
        <v>43044860.860639893</v>
      </c>
    </row>
    <row r="25" spans="3:7">
      <c r="C25" s="91"/>
    </row>
    <row r="26" spans="3:7">
      <c r="C26" s="91"/>
    </row>
    <row r="29" spans="3:7">
      <c r="C29" s="19" t="s">
        <v>222</v>
      </c>
      <c r="G29" s="19" t="s">
        <v>225</v>
      </c>
    </row>
    <row r="30" spans="3:7">
      <c r="C30" s="19" t="s">
        <v>223</v>
      </c>
      <c r="G30" s="19" t="s">
        <v>226</v>
      </c>
    </row>
    <row r="31" spans="3:7">
      <c r="C31" s="19" t="s">
        <v>224</v>
      </c>
      <c r="G31" s="19" t="s">
        <v>227</v>
      </c>
    </row>
  </sheetData>
  <pageMargins left="0.7" right="0.7" top="0.75" bottom="0.75" header="0.3" footer="0.3"/>
  <pageSetup paperSize="9" scale="60" orientation="portrait" r:id="rId1"/>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31BD4-A9B6-4493-9C38-96E81D2AC620}">
  <sheetPr codeName="Sheet9">
    <tabColor rgb="FF09C9C8"/>
  </sheetPr>
  <dimension ref="C2:H71"/>
  <sheetViews>
    <sheetView showGridLines="0" showRowColHeaders="0" view="pageBreakPreview" zoomScaleNormal="100" zoomScaleSheetLayoutView="100" workbookViewId="0">
      <selection activeCell="F15" sqref="F15"/>
    </sheetView>
  </sheetViews>
  <sheetFormatPr defaultRowHeight="15"/>
  <cols>
    <col min="3" max="3" width="31.7109375" bestFit="1" customWidth="1"/>
    <col min="4" max="4" width="13.28515625" bestFit="1" customWidth="1"/>
    <col min="6" max="6" width="14" customWidth="1"/>
    <col min="7" max="7" width="39.140625" bestFit="1" customWidth="1"/>
  </cols>
  <sheetData>
    <row r="2" spans="3:8">
      <c r="G2" s="21"/>
    </row>
    <row r="3" spans="3:8">
      <c r="G3" s="21"/>
    </row>
    <row r="5" spans="3:8">
      <c r="C5" s="79" t="s">
        <v>179</v>
      </c>
      <c r="G5" s="79" t="str">
        <f>C5</f>
        <v xml:space="preserve">PT URBANE STITCH INDONESIA (PERSERO)  </v>
      </c>
    </row>
    <row r="6" spans="3:8">
      <c r="C6" s="79" t="s">
        <v>178</v>
      </c>
      <c r="G6" s="79" t="s">
        <v>181</v>
      </c>
    </row>
    <row r="7" spans="3:8">
      <c r="C7" s="79" t="s">
        <v>177</v>
      </c>
      <c r="G7" s="79" t="s">
        <v>180</v>
      </c>
    </row>
    <row r="8" spans="3:8">
      <c r="D8" s="67"/>
      <c r="H8" s="67"/>
    </row>
    <row r="9" spans="3:8">
      <c r="D9" s="4" t="s">
        <v>495</v>
      </c>
      <c r="E9" s="4" t="s">
        <v>189</v>
      </c>
      <c r="F9" s="4" t="s">
        <v>456</v>
      </c>
    </row>
    <row r="10" spans="3:8">
      <c r="D10" s="84" t="s">
        <v>496</v>
      </c>
      <c r="E10" s="84" t="s">
        <v>190</v>
      </c>
      <c r="F10" s="84" t="s">
        <v>493</v>
      </c>
    </row>
    <row r="12" spans="3:8">
      <c r="C12" s="4" t="s">
        <v>182</v>
      </c>
      <c r="D12">
        <v>2026</v>
      </c>
      <c r="F12">
        <v>2025</v>
      </c>
      <c r="G12" s="77" t="s">
        <v>182</v>
      </c>
    </row>
    <row r="13" spans="3:8">
      <c r="C13" t="str">
        <f>'Neraca Saldo 2026'!C8</f>
        <v>Kas</v>
      </c>
      <c r="D13" s="1">
        <f>IFERROR(_xlfn.XLOOKUP(C13,'Neraca Saldo 2026'!$C$8:$C$49,'Neraca Saldo 2026'!$D$8:$D$49),0)</f>
        <v>9832015.2593671009</v>
      </c>
      <c r="E13" s="67" t="s">
        <v>583</v>
      </c>
      <c r="F13" s="1">
        <f>IFERROR(_xlfn.XLOOKUP(C13,'Neraca Saldo'!$C$8:$C$49,'Neraca Saldo'!$D$8:$D$49),0)</f>
        <v>1668500</v>
      </c>
      <c r="G13" s="223" t="str">
        <f>_xlfn.XLOOKUP(C13,COA[Nama Akun],COA[Account Name])</f>
        <v xml:space="preserve"> Cash</v>
      </c>
    </row>
    <row r="14" spans="3:8">
      <c r="C14" t="str">
        <f>'Neraca Saldo 2026'!C9</f>
        <v>Bank</v>
      </c>
      <c r="D14" s="1">
        <f>IFERROR(_xlfn.XLOOKUP(C14,'Neraca Saldo 2026'!$C$8:$C$49,'Neraca Saldo 2026'!$D$8:$D$49),0)</f>
        <v>0</v>
      </c>
      <c r="E14" s="67"/>
      <c r="F14" s="1">
        <f>IFERROR(_xlfn.XLOOKUP(C14,'Neraca Saldo'!$C$8:$C$49,'Neraca Saldo'!$D$8:$D$49),0)</f>
        <v>0</v>
      </c>
      <c r="G14" s="223" t="str">
        <f>_xlfn.XLOOKUP(C14,COA[Nama Akun],COA[Account Name])</f>
        <v xml:space="preserve"> Bank</v>
      </c>
    </row>
    <row r="15" spans="3:8">
      <c r="C15" t="str">
        <f>'Neraca Saldo 2026'!C10</f>
        <v>Piutang Usaha</v>
      </c>
      <c r="D15" s="1">
        <f>IFERROR(_xlfn.XLOOKUP(C15,'Neraca Saldo 2026'!$C$8:$C$49,'Neraca Saldo 2026'!$D$8:$D$49),0)</f>
        <v>38217937.600000001</v>
      </c>
      <c r="E15" s="67" t="s">
        <v>582</v>
      </c>
      <c r="F15" s="1">
        <f>IFERROR(_xlfn.XLOOKUP(C15,'Neraca Saldo'!$C$8:$C$49,'Neraca Saldo'!$D$8:$D$49),0)</f>
        <v>34184093.38787879</v>
      </c>
      <c r="G15" s="223" t="str">
        <f>_xlfn.XLOOKUP(C15,COA[Nama Akun],COA[Account Name])</f>
        <v xml:space="preserve"> Accounts Receivable</v>
      </c>
    </row>
    <row r="16" spans="3:8">
      <c r="C16" t="str">
        <f>'Neraca Saldo 2026'!C11</f>
        <v>Persediaan Bahan Baku</v>
      </c>
      <c r="D16" s="1">
        <f>IFERROR(_xlfn.XLOOKUP(C16,'Neraca Saldo 2026'!$C$8:$C$49,'Neraca Saldo 2026'!$D$8:$D$49),0)</f>
        <v>656839.59899748862</v>
      </c>
      <c r="E16" s="67"/>
      <c r="F16" s="1">
        <f>IFERROR(_xlfn.XLOOKUP(C16,'Neraca Saldo'!$C$8:$C$49,'Neraca Saldo'!$D$8:$D$49),0)</f>
        <v>3785904.4314325638</v>
      </c>
      <c r="G16" s="223" t="str">
        <f>_xlfn.XLOOKUP(C16,COA[Nama Akun],COA[Account Name])</f>
        <v xml:space="preserve"> Raw Material Inventory</v>
      </c>
    </row>
    <row r="17" spans="3:7">
      <c r="C17" t="str">
        <f>'Neraca Saldo 2026'!C12</f>
        <v>Perlengkapan Produksi</v>
      </c>
      <c r="D17" s="1">
        <f>IFERROR(_xlfn.XLOOKUP(C17,'Neraca Saldo 2026'!$C$8:$C$49,'Neraca Saldo 2026'!$D$8:$D$49),0)</f>
        <v>0</v>
      </c>
      <c r="E17" s="67"/>
      <c r="F17" s="1">
        <f>IFERROR(_xlfn.XLOOKUP(C17,'Neraca Saldo'!$C$8:$C$49,'Neraca Saldo'!$D$8:$D$49),0)</f>
        <v>0</v>
      </c>
      <c r="G17" s="223" t="str">
        <f>_xlfn.XLOOKUP(C17,COA[Nama Akun],COA[Account Name])</f>
        <v xml:space="preserve"> Production Supplies</v>
      </c>
    </row>
    <row r="18" spans="3:7">
      <c r="C18" t="str">
        <f>'Neraca Saldo 2026'!C13</f>
        <v>Diskon Pembelian</v>
      </c>
      <c r="D18" s="1">
        <f>IFERROR(_xlfn.XLOOKUP(C18,'Neraca Saldo 2026'!$C$8:$C$49,'Neraca Saldo 2026'!$D$8:$D$49),0)</f>
        <v>-14900</v>
      </c>
      <c r="E18" s="67"/>
      <c r="F18" s="1">
        <f>IFERROR(_xlfn.XLOOKUP(C18,'Neraca Saldo'!$C$8:$C$49,'Neraca Saldo'!$D$8:$D$49),0)</f>
        <v>-396315</v>
      </c>
      <c r="G18" s="223" t="str">
        <f>_xlfn.XLOOKUP(C18,COA[Nama Akun],COA[Account Name])</f>
        <v>Discounts Sales</v>
      </c>
    </row>
    <row r="19" spans="3:7">
      <c r="C19" t="str">
        <f>'Neraca Saldo 2026'!C14</f>
        <v>Gedung</v>
      </c>
      <c r="D19" s="1">
        <f>IFERROR(_xlfn.XLOOKUP(C19,'Neraca Saldo 2026'!$C$8:$C$49,'Neraca Saldo 2026'!$D$8:$D$49),0)</f>
        <v>0</v>
      </c>
      <c r="E19" s="67"/>
      <c r="F19" s="1">
        <f>IFERROR(_xlfn.XLOOKUP(C19,'Neraca Saldo'!$C$8:$C$49,'Neraca Saldo'!$D$8:$D$49),0)</f>
        <v>1000000</v>
      </c>
      <c r="G19" s="223" t="str">
        <f>_xlfn.XLOOKUP(C19,COA[Nama Akun],COA[Account Name])</f>
        <v xml:space="preserve"> Buildings &amp; Production Machines</v>
      </c>
    </row>
    <row r="20" spans="3:7">
      <c r="C20" t="str">
        <f>'Neraca Saldo 2026'!C15</f>
        <v>Akumulasi Penyusutan Gedung</v>
      </c>
      <c r="D20" s="1">
        <f>IFERROR(_xlfn.XLOOKUP(C20,'Neraca Saldo 2026'!$C$8:$C$49,'Neraca Saldo 2026'!$D$8:$D$49),0)</f>
        <v>0</v>
      </c>
      <c r="E20" s="67"/>
      <c r="F20" s="1">
        <f>IFERROR(_xlfn.XLOOKUP(C20,'Neraca Saldo'!$C$8:$C$49,'Neraca Saldo'!$D$8:$D$49),0)</f>
        <v>-100000</v>
      </c>
      <c r="G20" s="223" t="str">
        <f>_xlfn.XLOOKUP(C20,COA[Nama Akun],COA[Account Name])</f>
        <v>Accumulated Building Depreciation</v>
      </c>
    </row>
    <row r="21" spans="3:7">
      <c r="C21" t="str">
        <f>'Neraca Saldo 2026'!C16</f>
        <v>Mesin Produksi</v>
      </c>
      <c r="D21" s="1">
        <f>IFERROR(_xlfn.XLOOKUP(C21,'Neraca Saldo 2026'!$C$8:$C$49,'Neraca Saldo 2026'!$D$8:$D$49),0)</f>
        <v>600000</v>
      </c>
      <c r="E21" s="67"/>
      <c r="F21" s="1">
        <f>IFERROR(_xlfn.XLOOKUP(C21,'Neraca Saldo'!$C$8:$C$49,'Neraca Saldo'!$D$8:$D$49),0)</f>
        <v>1500000</v>
      </c>
      <c r="G21" s="223" t="str">
        <f>_xlfn.XLOOKUP(C21,COA[Nama Akun],COA[Account Name])</f>
        <v xml:space="preserve"> Buildings &amp; Production Machines</v>
      </c>
    </row>
    <row r="22" spans="3:7">
      <c r="C22" t="str">
        <f>'Neraca Saldo 2026'!C17</f>
        <v>Akumulasi Penyusutan Mesin</v>
      </c>
      <c r="D22" s="1">
        <f>IFERROR(_xlfn.XLOOKUP(C22,'Neraca Saldo 2026'!$C$8:$C$49,'Neraca Saldo 2026'!$D$8:$D$49),0)</f>
        <v>0</v>
      </c>
      <c r="E22" s="67"/>
      <c r="F22" s="1">
        <f>IFERROR(_xlfn.XLOOKUP(C22,'Neraca Saldo'!$C$8:$C$49,'Neraca Saldo'!$D$8:$D$49),0)</f>
        <v>-300000</v>
      </c>
      <c r="G22" s="223" t="str">
        <f>_xlfn.XLOOKUP(C22,COA[Nama Akun],COA[Account Name])</f>
        <v xml:space="preserve"> Accumulated Machine Depreciation</v>
      </c>
    </row>
    <row r="23" spans="3:7">
      <c r="C23" t="str">
        <f>'Neraca Saldo 2026'!C18</f>
        <v>Aset Lainnya</v>
      </c>
      <c r="D23" s="1">
        <f>IFERROR(_xlfn.XLOOKUP(C23,'Neraca Saldo 2026'!$C$8:$C$49,'Neraca Saldo 2026'!$D$8:$D$49),0)</f>
        <v>19169545.259128027</v>
      </c>
      <c r="E23" s="67"/>
      <c r="F23" s="1">
        <f>IFERROR(_xlfn.XLOOKUP(C23,'Neraca Saldo'!$C$8:$C$49,'Neraca Saldo'!$D$8:$D$49),0)</f>
        <v>0</v>
      </c>
      <c r="G23" s="223" t="str">
        <f>_xlfn.XLOOKUP(C23,COA[Nama Akun],COA[Account Name])</f>
        <v>Other Assets</v>
      </c>
    </row>
    <row r="24" spans="3:7">
      <c r="C24" t="str">
        <f>'Neraca Saldo 2026'!C19</f>
        <v>Kendaraan</v>
      </c>
      <c r="D24" s="1">
        <f>IFERROR(_xlfn.XLOOKUP(C24,'Neraca Saldo 2026'!$C$8:$C$49,'Neraca Saldo 2026'!$D$8:$D$49),0)</f>
        <v>0</v>
      </c>
      <c r="E24" s="67"/>
      <c r="F24" s="1">
        <f>IFERROR(_xlfn.XLOOKUP(C24,'Neraca Saldo'!$C$8:$C$49,'Neraca Saldo'!$D$8:$D$49),0)</f>
        <v>0</v>
      </c>
      <c r="G24" s="223" t="str">
        <f>_xlfn.XLOOKUP(C24,COA[Nama Akun],COA[Account Name])</f>
        <v>Vehicle</v>
      </c>
    </row>
    <row r="25" spans="3:7">
      <c r="C25" t="str">
        <f>'Neraca Saldo 2026'!C20</f>
        <v>Akumulasi Penyusutan Kendaraan</v>
      </c>
      <c r="D25" s="1">
        <f>IFERROR(_xlfn.XLOOKUP(C25,'Neraca Saldo 2026'!$C$8:$C$49,'Neraca Saldo 2026'!$D$8:$D$49),0)</f>
        <v>400000</v>
      </c>
      <c r="E25" s="67"/>
      <c r="F25" s="1">
        <f>IFERROR(_xlfn.XLOOKUP(C25,'Neraca Saldo'!$C$8:$C$49,'Neraca Saldo'!$D$8:$D$49),0)</f>
        <v>0</v>
      </c>
      <c r="G25" s="223" t="str">
        <f>_xlfn.XLOOKUP(C25,COA[Nama Akun],COA[Account Name])</f>
        <v>Accumulated Vehicle Depreciation</v>
      </c>
    </row>
    <row r="26" spans="3:7">
      <c r="C26" t="str">
        <f>'Neraca Saldo 2026'!C21</f>
        <v>PPN Masukan</v>
      </c>
      <c r="D26" s="1">
        <f>IFERROR(_xlfn.XLOOKUP(C26,'Neraca Saldo 2026'!$C$8:$C$49,'Neraca Saldo 2026'!$D$8:$D$49),0)</f>
        <v>2453446.875</v>
      </c>
      <c r="E26" s="67"/>
      <c r="F26" s="1">
        <f>IFERROR(_xlfn.XLOOKUP(C26,'Neraca Saldo'!$C$8:$C$49,'Neraca Saldo'!$D$8:$D$49),0)</f>
        <v>618954</v>
      </c>
      <c r="G26" s="223" t="str">
        <f>_xlfn.XLOOKUP(C26,COA[Nama Akun],COA[Account Name])</f>
        <v>VAT In</v>
      </c>
    </row>
    <row r="27" spans="3:7">
      <c r="C27" t="str">
        <f>'Neraca Saldo 2026'!C22</f>
        <v>Investasi Saham</v>
      </c>
      <c r="D27" s="1">
        <f>IFERROR(_xlfn.XLOOKUP(C27,'Neraca Saldo 2026'!$C$8:$C$49,'Neraca Saldo 2026'!$D$8:$D$49),0)</f>
        <v>11000000</v>
      </c>
      <c r="E27" s="67"/>
      <c r="F27" s="1">
        <f>IFERROR(_xlfn.XLOOKUP(C27,'Neraca Saldo'!$C$8:$C$49,'Neraca Saldo'!$D$8:$D$49),0)</f>
        <v>0</v>
      </c>
      <c r="G27" s="223" t="str">
        <f>_xlfn.XLOOKUP(C27,COA[Nama Akun],COA[Account Name])</f>
        <v>Shares Investation</v>
      </c>
    </row>
    <row r="28" spans="3:7">
      <c r="C28" t="str">
        <f>'Neraca Saldo 2026'!C23</f>
        <v>Investasi Obligasi</v>
      </c>
      <c r="D28" s="1">
        <f>IFERROR(_xlfn.XLOOKUP(C28,'Neraca Saldo 2026'!$C$8:$C$49,'Neraca Saldo 2026'!$D$8:$D$49),0)</f>
        <v>9353026.1394610498</v>
      </c>
      <c r="E28" s="67" t="s">
        <v>658</v>
      </c>
      <c r="F28" s="1">
        <f>IFERROR(_xlfn.XLOOKUP(C28,'Neraca Saldo'!$C$8:$C$49,'Neraca Saldo'!$D$8:$D$49),0)</f>
        <v>0</v>
      </c>
      <c r="G28" s="223" t="str">
        <f>_xlfn.XLOOKUP(C28,COA[Nama Akun],COA[Account Name])</f>
        <v>Bond Investation</v>
      </c>
    </row>
    <row r="29" spans="3:7">
      <c r="C29" t="str">
        <f>'Neraca Saldo 2026'!C24</f>
        <v>Aset Pensiun</v>
      </c>
      <c r="D29" s="1">
        <f>IFERROR(_xlfn.XLOOKUP(C29,'Neraca Saldo 2026'!$C$8:$C$49,'Neraca Saldo 2026'!$D$8:$D$49),0)</f>
        <v>0</v>
      </c>
      <c r="E29" s="67"/>
      <c r="F29" s="1">
        <f>IFERROR(_xlfn.XLOOKUP(C29,'Neraca Saldo'!$C$8:$C$49,'Neraca Saldo'!$D$8:$D$49),0)</f>
        <v>0</v>
      </c>
      <c r="G29" s="223" t="str">
        <f>_xlfn.XLOOKUP(C29,COA[Nama Akun],COA[Account Name])</f>
        <v>Pension Asset</v>
      </c>
    </row>
    <row r="30" spans="3:7">
      <c r="C30" s="4" t="s">
        <v>191</v>
      </c>
      <c r="D30" s="85">
        <f>SUM(D13:D29)</f>
        <v>91667910.731953666</v>
      </c>
      <c r="E30" s="67"/>
      <c r="F30" s="85">
        <f>SUM(F13:F29)</f>
        <v>41961136.819311351</v>
      </c>
      <c r="G30" s="77" t="s">
        <v>208</v>
      </c>
    </row>
    <row r="31" spans="3:7">
      <c r="D31" s="1"/>
      <c r="E31" s="67"/>
      <c r="G31" s="78"/>
    </row>
    <row r="32" spans="3:7">
      <c r="C32" s="4" t="s">
        <v>192</v>
      </c>
      <c r="D32" s="1"/>
      <c r="E32" s="67"/>
      <c r="G32" s="77" t="s">
        <v>207</v>
      </c>
    </row>
    <row r="33" spans="3:7">
      <c r="C33" s="4" t="s">
        <v>193</v>
      </c>
      <c r="D33" s="1"/>
      <c r="E33" s="67"/>
      <c r="G33" s="77" t="s">
        <v>206</v>
      </c>
    </row>
    <row r="34" spans="3:7">
      <c r="C34" t="str">
        <f>'Neraca Saldo 2026'!C25</f>
        <v>Utang Usaha</v>
      </c>
      <c r="D34" s="1">
        <f>IFERROR(_xlfn.XLOOKUP(C34,'Neraca Saldo 2026'!$C$8:$C$37,'Neraca Saldo 2026'!$D$8:$D$37),0)</f>
        <v>24743497.375</v>
      </c>
      <c r="E34" s="67" t="s">
        <v>657</v>
      </c>
      <c r="F34" s="1">
        <f>IFERROR(_xlfn.XLOOKUP(C34,'Neraca Saldo'!$C$8:$C$49,'Neraca Saldo'!$D$8:$D$49),0)</f>
        <v>8292639</v>
      </c>
      <c r="G34" s="223" t="str">
        <f>_xlfn.XLOOKUP(C34,COA[Nama Akun],COA[Account Name])</f>
        <v xml:space="preserve"> Accounts Payable</v>
      </c>
    </row>
    <row r="35" spans="3:7">
      <c r="C35" t="str">
        <f>'Neraca Saldo 2026'!C26</f>
        <v>Utang Pajak Gaji</v>
      </c>
      <c r="D35" s="1">
        <f>IFERROR(_xlfn.XLOOKUP(C35,'Neraca Saldo 2026'!$C$8:$C$37,'Neraca Saldo 2026'!$D$8:$D$37),0)</f>
        <v>240000</v>
      </c>
      <c r="E35" s="67"/>
      <c r="F35" s="1">
        <f>IFERROR(_xlfn.XLOOKUP(C35,'Neraca Saldo'!$C$8:$C$49,'Neraca Saldo'!$D$8:$D$49),0)</f>
        <v>585231.02727272734</v>
      </c>
      <c r="G35" s="223" t="str">
        <f>_xlfn.XLOOKUP(C35,COA[Nama Akun],COA[Account Name])</f>
        <v xml:space="preserve"> Tax Payable</v>
      </c>
    </row>
    <row r="36" spans="3:7">
      <c r="C36" t="str">
        <f>'Neraca Saldo 2026'!C27</f>
        <v>PPN Keluaran</v>
      </c>
      <c r="D36" s="1">
        <f>IFERROR(_xlfn.XLOOKUP(C36,'Neraca Saldo 2026'!$C$8:$C$37,'Neraca Saldo 2026'!$D$8:$D$37),0)</f>
        <v>3910803.5999999996</v>
      </c>
      <c r="E36" s="67"/>
      <c r="F36" s="1">
        <f>IFERROR(_xlfn.XLOOKUP(C36,'Neraca Saldo'!$C$8:$C$49,'Neraca Saldo'!$D$8:$D$49),0)</f>
        <v>3428239.8222222221</v>
      </c>
      <c r="G36" s="223" t="str">
        <f>_xlfn.XLOOKUP(C36,COA[Nama Akun],COA[Account Name])</f>
        <v>VAT Out</v>
      </c>
    </row>
    <row r="37" spans="3:7">
      <c r="C37" t="str">
        <f>'Neraca Saldo 2026'!C28</f>
        <v>Utang Gaji</v>
      </c>
      <c r="D37" s="1">
        <f>IFERROR(_xlfn.XLOOKUP(C37,'Neraca Saldo 2026'!$C$8:$C$37,'Neraca Saldo 2026'!$D$8:$D$37),0)</f>
        <v>0</v>
      </c>
      <c r="E37" s="67"/>
      <c r="F37" s="1">
        <f>IFERROR(_xlfn.XLOOKUP(C37,'Neraca Saldo'!$C$8:$C$49,'Neraca Saldo'!$D$8:$D$49),0)</f>
        <v>0</v>
      </c>
      <c r="G37" s="223" t="str">
        <f>_xlfn.XLOOKUP(C37,COA[Nama Akun],COA[Account Name])</f>
        <v xml:space="preserve"> Salary Payable</v>
      </c>
    </row>
    <row r="38" spans="3:7">
      <c r="C38" t="str">
        <f>'Neraca Saldo 2026'!C29</f>
        <v>Utang Bank</v>
      </c>
      <c r="D38" s="1">
        <f>IFERROR(_xlfn.XLOOKUP(C38,'Neraca Saldo 2026'!$C$8:$C$37,'Neraca Saldo 2026'!$D$8:$D$37),0)</f>
        <v>498214.64719276788</v>
      </c>
      <c r="E38" s="67"/>
      <c r="F38" s="1">
        <f>IFERROR(_xlfn.XLOOKUP(C38,'Neraca Saldo'!$C$8:$C$49,'Neraca Saldo'!$D$8:$D$49),0)</f>
        <v>0</v>
      </c>
      <c r="G38" s="223" t="str">
        <f>_xlfn.XLOOKUP(C38,COA[Nama Akun],COA[Account Name])</f>
        <v xml:space="preserve"> Bank Loan</v>
      </c>
    </row>
    <row r="39" spans="3:7">
      <c r="C39" t="str">
        <f>'Neraca Saldo 2026'!C30</f>
        <v>Utang Obligasi</v>
      </c>
      <c r="D39" s="1">
        <f>IFERROR(_xlfn.XLOOKUP(C39,'Neraca Saldo 2026'!$C$8:$C$37,'Neraca Saldo 2026'!$D$8:$D$37),0)</f>
        <v>10000000</v>
      </c>
      <c r="E39" s="67"/>
      <c r="F39" s="1">
        <f>IFERROR(_xlfn.XLOOKUP(C39,'Neraca Saldo'!$C$8:$C$49,'Neraca Saldo'!$D$8:$D$49),0)</f>
        <v>0</v>
      </c>
      <c r="G39" s="223" t="str">
        <f>_xlfn.XLOOKUP(C39,COA[Nama Akun],COA[Account Name])</f>
        <v>Bond Payable</v>
      </c>
    </row>
    <row r="40" spans="3:7">
      <c r="C40" t="str">
        <f>'Neraca Saldo 2026'!C31</f>
        <v>Premi Obligasi</v>
      </c>
      <c r="D40" s="1">
        <f>IFERROR(_xlfn.XLOOKUP(C40,'Neraca Saldo 2026'!$C$8:$C$37,'Neraca Saldo 2026'!$D$8:$D$37),0)</f>
        <v>1085067.0551199091</v>
      </c>
      <c r="E40" s="67"/>
      <c r="F40" s="1">
        <f>IFERROR(_xlfn.XLOOKUP(C40,'Neraca Saldo'!$C$8:$C$49,'Neraca Saldo'!$D$8:$D$49),0)</f>
        <v>0</v>
      </c>
      <c r="G40" s="223" t="str">
        <f>_xlfn.XLOOKUP(C40,COA[Nama Akun],COA[Account Name])</f>
        <v>Premium Bond</v>
      </c>
    </row>
    <row r="41" spans="3:7">
      <c r="C41" t="str">
        <f>'Neraca Saldo 2026'!C32</f>
        <v>Diskon Obligasi</v>
      </c>
      <c r="D41" s="1">
        <f>IFERROR(_xlfn.XLOOKUP(C41,'Neraca Saldo 2026'!$C$8:$C$37,'Neraca Saldo 2026'!$D$8:$D$37),0)</f>
        <v>0</v>
      </c>
      <c r="E41" s="67"/>
      <c r="F41" s="1">
        <f>IFERROR(_xlfn.XLOOKUP(C41,'Neraca Saldo'!$C$8:$C$49,'Neraca Saldo'!$D$8:$D$49),0)</f>
        <v>0</v>
      </c>
      <c r="G41" s="223" t="str">
        <f>_xlfn.XLOOKUP(C41,COA[Nama Akun],COA[Account Name])</f>
        <v>Discount Bond</v>
      </c>
    </row>
    <row r="42" spans="3:7">
      <c r="C42" t="str">
        <f>'Neraca Saldo 2026'!C33</f>
        <v>Wesel Bayar</v>
      </c>
      <c r="D42" s="1">
        <f>IFERROR(_xlfn.XLOOKUP(C42,'Neraca Saldo 2026'!$C$8:$C$37,'Neraca Saldo 2026'!$D$8:$D$37),0)</f>
        <v>4932315.1940010954</v>
      </c>
      <c r="E42" s="67"/>
      <c r="F42" s="1">
        <f>IFERROR(_xlfn.XLOOKUP(C42,'Neraca Saldo'!$C$8:$C$49,'Neraca Saldo'!$D$8:$D$49),0)</f>
        <v>0</v>
      </c>
      <c r="G42" s="223" t="str">
        <f>_xlfn.XLOOKUP(C42,COA[Nama Akun],COA[Account Name])</f>
        <v>Notes Payable</v>
      </c>
    </row>
    <row r="43" spans="3:7">
      <c r="C43" t="str">
        <f>'Neraca Saldo 2026'!C34</f>
        <v>Utang Kontinjensi Pemasaran</v>
      </c>
      <c r="D43" s="1">
        <f>IFERROR(_xlfn.XLOOKUP(C43,'Neraca Saldo 2026'!$C$8:$C$37,'Neraca Saldo 2026'!$D$8:$D$37),0)</f>
        <v>6397151.9999999981</v>
      </c>
      <c r="E43" s="67"/>
      <c r="F43" s="1">
        <f>IFERROR(_xlfn.XLOOKUP(C43,'Neraca Saldo'!$C$8:$C$49,'Neraca Saldo'!$D$8:$D$49),0)</f>
        <v>0</v>
      </c>
      <c r="G43" s="223" t="str">
        <f>_xlfn.XLOOKUP(C43,COA[Nama Akun],COA[Account Name])</f>
        <v>Marketing Contingensies Liabilities</v>
      </c>
    </row>
    <row r="44" spans="3:7">
      <c r="C44" t="str">
        <f>'Neraca Saldo 2026'!C35</f>
        <v>Utang Dividen</v>
      </c>
      <c r="D44" s="1">
        <f>IFERROR(_xlfn.XLOOKUP(C44,'Neraca Saldo 2026'!$C$8:$C$37,'Neraca Saldo 2026'!$D$8:$D$37),0)</f>
        <v>320000</v>
      </c>
      <c r="E44" s="67"/>
      <c r="F44" s="1">
        <f>IFERROR(_xlfn.XLOOKUP(C44,'Neraca Saldo'!$C$8:$C$49,'Neraca Saldo'!$D$8:$D$49),0)</f>
        <v>0</v>
      </c>
      <c r="G44" s="223" t="str">
        <f>_xlfn.XLOOKUP(C44,COA[Nama Akun],COA[Account Name])</f>
        <v>Dividend Liabilities</v>
      </c>
    </row>
    <row r="45" spans="3:7">
      <c r="C45" t="str">
        <f>'Neraca Saldo 2026'!C36</f>
        <v>Utang Pensiun</v>
      </c>
      <c r="D45" s="1">
        <f>IFERROR(_xlfn.XLOOKUP(C45,'Neraca Saldo 2026'!$C$8:$C$37,'Neraca Saldo 2026'!$D$8:$D$37),0)</f>
        <v>0</v>
      </c>
      <c r="E45" s="67"/>
      <c r="F45" s="1">
        <f>IFERROR(_xlfn.XLOOKUP(C45,'Neraca Saldo'!$C$8:$C$49,'Neraca Saldo'!$D$8:$D$49),0)</f>
        <v>0</v>
      </c>
      <c r="G45" s="223" t="str">
        <f>_xlfn.XLOOKUP(C45,COA[Nama Akun],COA[Account Name])</f>
        <v>Pension Liabilites</v>
      </c>
    </row>
    <row r="46" spans="3:7">
      <c r="C46" s="4" t="s">
        <v>198</v>
      </c>
      <c r="D46" s="85">
        <f>SUM(D34:D45)</f>
        <v>52127049.871313773</v>
      </c>
      <c r="E46" s="67"/>
      <c r="F46" s="85">
        <f>SUM(F34:F45)</f>
        <v>12306109.849494949</v>
      </c>
      <c r="G46" s="77" t="s">
        <v>205</v>
      </c>
    </row>
    <row r="47" spans="3:7">
      <c r="D47" s="1"/>
      <c r="E47" s="67"/>
      <c r="G47" s="78"/>
    </row>
    <row r="48" spans="3:7">
      <c r="C48" s="4" t="s">
        <v>199</v>
      </c>
      <c r="D48" s="1"/>
      <c r="E48" s="67"/>
      <c r="G48" s="77" t="s">
        <v>204</v>
      </c>
    </row>
    <row r="49" spans="3:7">
      <c r="C49" t="str">
        <f>'Neraca Saldo 2026'!C37</f>
        <v>Modal</v>
      </c>
      <c r="D49" s="1">
        <f>IFERROR(_xlfn.XLOOKUP(C49,'Neraca Saldo 2026'!$C$8:$C$37,'Neraca Saldo 2026'!$D$8:$D$37),0)</f>
        <v>13220000</v>
      </c>
      <c r="E49" s="67"/>
      <c r="F49" s="1">
        <f>IFERROR(_xlfn.XLOOKUP(C49,'Neraca Saldo'!$C$8:$C$49,'Neraca Saldo'!$D$8:$D$49),0)</f>
        <v>18000000</v>
      </c>
      <c r="G49" s="223" t="str">
        <f>_xlfn.XLOOKUP(C49,COA[Nama Akun],COA[Account Name])</f>
        <v>Shares Equity</v>
      </c>
    </row>
    <row r="50" spans="3:7" ht="60">
      <c r="C50" s="230" t="s">
        <v>486</v>
      </c>
      <c r="D50" s="1"/>
      <c r="E50" s="67"/>
      <c r="F50" s="1"/>
      <c r="G50" s="231" t="s">
        <v>487</v>
      </c>
    </row>
    <row r="51" spans="3:7" ht="30">
      <c r="C51" s="230" t="s">
        <v>485</v>
      </c>
      <c r="D51" s="1"/>
      <c r="E51" s="67"/>
      <c r="F51" s="1"/>
      <c r="G51" s="231" t="s">
        <v>488</v>
      </c>
    </row>
    <row r="52" spans="3:7" ht="30">
      <c r="C52" s="230" t="s">
        <v>484</v>
      </c>
      <c r="D52" s="1"/>
      <c r="E52" s="67"/>
      <c r="F52" s="1"/>
      <c r="G52" s="231" t="s">
        <v>489</v>
      </c>
    </row>
    <row r="53" spans="3:7">
      <c r="C53" t="str">
        <f>'Neraca Saldo 2026'!C38</f>
        <v>Laba Ditahan</v>
      </c>
      <c r="D53" s="1">
        <f>IFERROR(_xlfn.XLOOKUP(C53,'Neraca Saldo 2026'!$C$8:$C$100,'Neraca Saldo 2026'!$D$8:$D$100),0)+LR!C36</f>
        <v>24724860.860639893</v>
      </c>
      <c r="E53" s="67"/>
      <c r="F53" s="1">
        <f>IFERROR(_xlfn.XLOOKUP(C53,'Neraca Saldo'!$C$8:$C$49,'Neraca Saldo'!$D$8:$D$49),0)</f>
        <v>11655026.969816402</v>
      </c>
      <c r="G53" s="223" t="str">
        <f>_xlfn.XLOOKUP(C53,COA[Nama Akun],COA[Account Name])</f>
        <v xml:space="preserve"> Retained Earnings</v>
      </c>
    </row>
    <row r="54" spans="3:7">
      <c r="C54" t="str">
        <f>'Neraca Saldo 2026'!C39</f>
        <v>Premi Saham-Biasa</v>
      </c>
      <c r="D54" s="1">
        <f>IFERROR(_xlfn.XLOOKUP(C54,'Neraca Saldo 2026'!$C$8:$C$100,'Neraca Saldo 2026'!$D$8:$D$100),0)</f>
        <v>1596000</v>
      </c>
      <c r="E54" s="67"/>
      <c r="F54" s="1">
        <f>IFERROR(_xlfn.XLOOKUP(C54,'Neraca Saldo'!$C$8:$C$49,'Neraca Saldo'!$D$8:$D$49),0)</f>
        <v>0</v>
      </c>
      <c r="G54" s="223" t="str">
        <f>_xlfn.XLOOKUP(C54,COA[Nama Akun],COA[Account Name])</f>
        <v>Premium Share-Ordinary</v>
      </c>
    </row>
    <row r="55" spans="3:7">
      <c r="C55" s="4" t="s">
        <v>200</v>
      </c>
      <c r="D55" s="85">
        <f>SUM(D49:D54)</f>
        <v>39540860.860639893</v>
      </c>
      <c r="E55" s="67"/>
      <c r="F55" s="85">
        <f>SUM(F49:F54)</f>
        <v>29655026.969816402</v>
      </c>
      <c r="G55" s="77" t="s">
        <v>203</v>
      </c>
    </row>
    <row r="56" spans="3:7">
      <c r="C56" s="4" t="s">
        <v>201</v>
      </c>
      <c r="D56" s="85">
        <f>D55+D46</f>
        <v>91667910.731953666</v>
      </c>
      <c r="E56" s="67"/>
      <c r="F56" s="85">
        <f>F55+F46</f>
        <v>41961136.819311351</v>
      </c>
      <c r="G56" s="77" t="s">
        <v>202</v>
      </c>
    </row>
    <row r="57" spans="3:7">
      <c r="E57" s="67"/>
    </row>
    <row r="58" spans="3:7">
      <c r="D58" s="239">
        <f>D56-D30</f>
        <v>0</v>
      </c>
      <c r="E58" s="67"/>
      <c r="F58" s="239">
        <f>F56-F30</f>
        <v>0</v>
      </c>
    </row>
    <row r="59" spans="3:7">
      <c r="E59" s="67"/>
    </row>
    <row r="60" spans="3:7">
      <c r="C60" s="19" t="s">
        <v>222</v>
      </c>
      <c r="E60" s="67"/>
      <c r="G60" s="19" t="s">
        <v>225</v>
      </c>
    </row>
    <row r="61" spans="3:7">
      <c r="C61" s="19" t="s">
        <v>223</v>
      </c>
      <c r="E61" s="67"/>
      <c r="G61" s="19" t="s">
        <v>226</v>
      </c>
    </row>
    <row r="62" spans="3:7">
      <c r="C62" s="19" t="s">
        <v>224</v>
      </c>
      <c r="E62" s="67"/>
      <c r="G62" s="19" t="s">
        <v>227</v>
      </c>
    </row>
    <row r="63" spans="3:7">
      <c r="E63" s="67"/>
    </row>
    <row r="64" spans="3:7">
      <c r="E64" s="67"/>
    </row>
    <row r="65" spans="5:5">
      <c r="E65" s="67"/>
    </row>
    <row r="66" spans="5:5">
      <c r="E66" s="67"/>
    </row>
    <row r="67" spans="5:5">
      <c r="E67" s="67"/>
    </row>
    <row r="68" spans="5:5">
      <c r="E68" s="67"/>
    </row>
    <row r="69" spans="5:5">
      <c r="E69" s="67"/>
    </row>
    <row r="70" spans="5:5">
      <c r="E70" s="67"/>
    </row>
    <row r="71" spans="5:5">
      <c r="E71" s="67"/>
    </row>
  </sheetData>
  <pageMargins left="0.7" right="0.7" top="0.75" bottom="0.75" header="0.3" footer="0.3"/>
  <pageSetup paperSize="9" scale="60" orientation="portrait"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26E28-6276-42F2-B867-D1BD47DEBE01}">
  <sheetPr codeName="Sheet10"/>
  <dimension ref="A1:G36"/>
  <sheetViews>
    <sheetView showGridLines="0" workbookViewId="0">
      <selection activeCell="J23" sqref="J23"/>
    </sheetView>
  </sheetViews>
  <sheetFormatPr defaultRowHeight="15"/>
  <cols>
    <col min="1" max="1" width="15.7109375" style="32" bestFit="1" customWidth="1"/>
    <col min="2" max="2" width="10.42578125" bestFit="1" customWidth="1"/>
    <col min="3" max="3" width="17.7109375" customWidth="1"/>
    <col min="4" max="4" width="4.7109375" bestFit="1" customWidth="1"/>
    <col min="5" max="6" width="14" style="31" bestFit="1" customWidth="1"/>
    <col min="7" max="7" width="12.85546875" bestFit="1" customWidth="1"/>
  </cols>
  <sheetData>
    <row r="1" spans="1:6" ht="15.75">
      <c r="A1" s="36" t="e">
        <f>#REF!</f>
        <v>#REF!</v>
      </c>
      <c r="B1" s="37"/>
      <c r="C1" s="37"/>
      <c r="D1" s="37"/>
      <c r="E1" s="37"/>
      <c r="F1" s="37"/>
    </row>
    <row r="2" spans="1:6" ht="15.75">
      <c r="A2" s="36" t="s">
        <v>62</v>
      </c>
      <c r="B2" s="37"/>
      <c r="C2" s="37"/>
      <c r="D2" s="37"/>
      <c r="E2" s="37"/>
      <c r="F2" s="37"/>
    </row>
    <row r="3" spans="1:6" ht="15.75">
      <c r="A3" s="36" t="s">
        <v>134</v>
      </c>
      <c r="B3" s="37"/>
      <c r="C3" s="37"/>
      <c r="D3" s="37"/>
      <c r="E3" s="37"/>
      <c r="F3" s="37"/>
    </row>
    <row r="4" spans="1:6">
      <c r="A4"/>
      <c r="E4"/>
      <c r="F4"/>
    </row>
    <row r="5" spans="1:6">
      <c r="A5" s="33" t="s">
        <v>57</v>
      </c>
      <c r="B5" s="33" t="s">
        <v>58</v>
      </c>
      <c r="C5" s="34" t="s">
        <v>0</v>
      </c>
      <c r="D5" s="33" t="s">
        <v>59</v>
      </c>
      <c r="E5" s="33" t="s">
        <v>60</v>
      </c>
      <c r="F5" s="33" t="s">
        <v>61</v>
      </c>
    </row>
    <row r="6" spans="1:6">
      <c r="A6" s="32">
        <v>45690</v>
      </c>
      <c r="B6" s="35" t="e">
        <f>_xlfn.XLOOKUP(Table30[[#This Row],[Keterangan]],COA[Nama Akun],COA[COA])</f>
        <v>#N/A</v>
      </c>
      <c r="C6" t="s">
        <v>4</v>
      </c>
      <c r="E6" s="31">
        <v>18000000</v>
      </c>
    </row>
    <row r="7" spans="1:6">
      <c r="A7" s="32">
        <v>45690</v>
      </c>
      <c r="B7" s="35" t="e">
        <f>_xlfn.XLOOKUP(Table30[[#This Row],[Keterangan]],COA[Nama Akun],COA[COA])</f>
        <v>#N/A</v>
      </c>
      <c r="C7" t="s">
        <v>65</v>
      </c>
      <c r="F7" s="31">
        <v>18000000</v>
      </c>
    </row>
    <row r="8" spans="1:6">
      <c r="A8" s="32">
        <v>45707</v>
      </c>
      <c r="B8" s="35">
        <f>_xlfn.XLOOKUP(Table30[[#This Row],[Keterangan]],COA[Nama Akun],COA[COA])</f>
        <v>1109</v>
      </c>
      <c r="C8" t="s">
        <v>69</v>
      </c>
      <c r="E8" s="31">
        <v>1500000</v>
      </c>
    </row>
    <row r="9" spans="1:6">
      <c r="A9" s="32">
        <v>45707</v>
      </c>
      <c r="B9" s="35" t="e">
        <f>_xlfn.XLOOKUP(Table30[[#This Row],[Keterangan]],COA[Nama Akun],COA[COA])</f>
        <v>#N/A</v>
      </c>
      <c r="C9" t="s">
        <v>64</v>
      </c>
      <c r="F9" s="31">
        <v>1500000</v>
      </c>
    </row>
    <row r="10" spans="1:6">
      <c r="A10" s="32">
        <v>45707</v>
      </c>
      <c r="B10" s="35" t="e">
        <f>_xlfn.XLOOKUP(Table30[[#This Row],[Keterangan]],COA[Nama Akun],COA[COA])</f>
        <v>#N/A</v>
      </c>
      <c r="C10" t="s">
        <v>68</v>
      </c>
      <c r="E10" s="31">
        <v>1000000</v>
      </c>
    </row>
    <row r="11" spans="1:6">
      <c r="A11" s="32">
        <v>45707</v>
      </c>
      <c r="B11" s="35" t="e">
        <f>_xlfn.XLOOKUP(Table30[[#This Row],[Keterangan]],COA[Nama Akun],COA[COA])</f>
        <v>#N/A</v>
      </c>
      <c r="C11" t="s">
        <v>64</v>
      </c>
      <c r="F11" s="31">
        <v>1000000</v>
      </c>
    </row>
    <row r="12" spans="1:6">
      <c r="A12" s="32">
        <v>45707</v>
      </c>
      <c r="B12" s="35" t="e">
        <f>_xlfn.XLOOKUP(Table30[[#This Row],[Keterangan]],COA[Nama Akun],COA[COA])</f>
        <v>#N/A</v>
      </c>
      <c r="C12" t="s">
        <v>121</v>
      </c>
      <c r="E12" s="31">
        <v>107500</v>
      </c>
    </row>
    <row r="13" spans="1:6">
      <c r="A13" s="32">
        <v>45707</v>
      </c>
      <c r="B13" s="35" t="e">
        <f>_xlfn.XLOOKUP(Table30[[#This Row],[Keterangan]],COA[Nama Akun],COA[COA])</f>
        <v>#N/A</v>
      </c>
      <c r="C13" t="s">
        <v>64</v>
      </c>
      <c r="F13" s="31">
        <v>107500</v>
      </c>
    </row>
    <row r="14" spans="1:6">
      <c r="A14" s="32">
        <v>45707</v>
      </c>
      <c r="B14" s="35" t="e">
        <f>_xlfn.XLOOKUP(Table30[[#This Row],[Keterangan]],COA[Nama Akun],COA[COA])</f>
        <v>#N/A</v>
      </c>
      <c r="C14" t="s">
        <v>12</v>
      </c>
      <c r="E14" s="31">
        <v>543000</v>
      </c>
    </row>
    <row r="15" spans="1:6">
      <c r="A15" s="32">
        <v>45707</v>
      </c>
      <c r="B15" s="35" t="e">
        <f>_xlfn.XLOOKUP(Table30[[#This Row],[Keterangan]],COA[Nama Akun],COA[COA])</f>
        <v>#N/A</v>
      </c>
      <c r="C15" t="s">
        <v>130</v>
      </c>
      <c r="F15" s="31">
        <v>27000</v>
      </c>
    </row>
    <row r="16" spans="1:6">
      <c r="A16" s="32">
        <v>45707</v>
      </c>
      <c r="B16" s="35" t="e">
        <f>_xlfn.XLOOKUP(Table30[[#This Row],[Keterangan]],COA[Nama Akun],COA[COA])</f>
        <v>#N/A</v>
      </c>
      <c r="C16" t="s">
        <v>64</v>
      </c>
      <c r="F16" s="31">
        <v>516000</v>
      </c>
    </row>
    <row r="17" spans="1:7">
      <c r="A17" s="32">
        <v>45708</v>
      </c>
      <c r="B17" s="35" t="e">
        <f>_xlfn.XLOOKUP(Table30[[#This Row],[Keterangan]],COA[Nama Akun],COA[COA])</f>
        <v>#N/A</v>
      </c>
      <c r="C17" t="s">
        <v>129</v>
      </c>
      <c r="E17" s="31">
        <v>27000</v>
      </c>
    </row>
    <row r="18" spans="1:7">
      <c r="A18" s="32">
        <v>45708</v>
      </c>
      <c r="B18" s="35" t="e">
        <f>_xlfn.XLOOKUP(Table30[[#This Row],[Keterangan]],COA[Nama Akun],COA[COA])</f>
        <v>#N/A</v>
      </c>
      <c r="C18" t="s">
        <v>64</v>
      </c>
      <c r="F18" s="31">
        <v>27000</v>
      </c>
    </row>
    <row r="19" spans="1:7">
      <c r="A19" s="32">
        <v>45711</v>
      </c>
      <c r="B19" s="35" t="e">
        <f>_xlfn.XLOOKUP(Table30[[#This Row],[Keterangan]],COA[Nama Akun],COA[COA])</f>
        <v>#N/A</v>
      </c>
      <c r="C19" t="s">
        <v>7</v>
      </c>
      <c r="E19" s="31">
        <v>2623500</v>
      </c>
    </row>
    <row r="20" spans="1:7">
      <c r="A20" s="32">
        <v>45711</v>
      </c>
      <c r="B20" s="35">
        <f>_xlfn.XLOOKUP(Table30[[#This Row],[Keterangan]],COA[Nama Akun],COA[COA])</f>
        <v>1106</v>
      </c>
      <c r="C20" t="s">
        <v>122</v>
      </c>
      <c r="E20" s="31">
        <v>44915</v>
      </c>
    </row>
    <row r="21" spans="1:7">
      <c r="A21" s="32">
        <v>45711</v>
      </c>
      <c r="B21" s="35" t="e">
        <f>_xlfn.XLOOKUP(Table30[[#This Row],[Keterangan]],COA[Nama Akun],COA[COA])</f>
        <v>#N/A</v>
      </c>
      <c r="C21" t="s">
        <v>132</v>
      </c>
      <c r="F21" s="31">
        <v>118415</v>
      </c>
      <c r="G21" s="31"/>
    </row>
    <row r="22" spans="1:7">
      <c r="A22" s="32">
        <v>45711</v>
      </c>
      <c r="B22" s="35" t="e">
        <f>_xlfn.XLOOKUP(Table30[[#This Row],[Keterangan]],COA[Nama Akun],COA[COA])</f>
        <v>#N/A</v>
      </c>
      <c r="C22" t="s">
        <v>64</v>
      </c>
      <c r="F22" s="31">
        <v>2550000</v>
      </c>
    </row>
    <row r="23" spans="1:7">
      <c r="A23" s="32">
        <v>45712</v>
      </c>
      <c r="B23" s="35" t="e">
        <f>_xlfn.XLOOKUP(Table30[[#This Row],[Keterangan]],COA[Nama Akun],COA[COA])</f>
        <v>#N/A</v>
      </c>
      <c r="C23" t="s">
        <v>131</v>
      </c>
      <c r="E23" s="31">
        <v>118415</v>
      </c>
    </row>
    <row r="24" spans="1:7">
      <c r="A24" s="32">
        <v>45712</v>
      </c>
      <c r="B24" s="35" t="e">
        <f>_xlfn.XLOOKUP(Table30[[#This Row],[Keterangan]],COA[Nama Akun],COA[COA])</f>
        <v>#N/A</v>
      </c>
      <c r="C24" t="s">
        <v>64</v>
      </c>
      <c r="F24" s="31">
        <v>118415</v>
      </c>
    </row>
    <row r="25" spans="1:7">
      <c r="A25" s="32">
        <v>45713</v>
      </c>
      <c r="B25" s="35" t="e">
        <f>_xlfn.XLOOKUP(Table30[[#This Row],[Keterangan]],COA[Nama Akun],COA[COA])</f>
        <v>#N/A</v>
      </c>
      <c r="C25" t="s">
        <v>6</v>
      </c>
      <c r="E25" s="31">
        <v>7491130</v>
      </c>
    </row>
    <row r="26" spans="1:7">
      <c r="A26" s="32">
        <v>45713</v>
      </c>
      <c r="B26" s="35" t="e">
        <f>_xlfn.XLOOKUP(Table30[[#This Row],[Keterangan]],COA[Nama Akun],COA[COA])</f>
        <v>#N/A</v>
      </c>
      <c r="C26" t="s">
        <v>132</v>
      </c>
      <c r="E26" s="31">
        <v>925870</v>
      </c>
    </row>
    <row r="27" spans="1:7">
      <c r="A27" s="32">
        <v>45713</v>
      </c>
      <c r="B27" s="35" t="e">
        <f>_xlfn.XLOOKUP(Table30[[#This Row],[Keterangan]],COA[Nama Akun],COA[COA])</f>
        <v>#N/A</v>
      </c>
      <c r="C27" t="s">
        <v>66</v>
      </c>
      <c r="F27" s="31">
        <v>8417000</v>
      </c>
    </row>
    <row r="28" spans="1:7">
      <c r="A28" s="32">
        <v>45714</v>
      </c>
      <c r="B28" s="35">
        <f>_xlfn.XLOOKUP(Table30[[#This Row],[Keterangan]],COA[Nama Akun],COA[COA])</f>
        <v>5109</v>
      </c>
      <c r="C28" t="s">
        <v>125</v>
      </c>
      <c r="E28" s="31">
        <v>4037140</v>
      </c>
    </row>
    <row r="29" spans="1:7">
      <c r="A29" s="32">
        <v>45714</v>
      </c>
      <c r="B29" s="35" t="e">
        <f>_xlfn.XLOOKUP(Table30[[#This Row],[Keterangan]],COA[Nama Akun],COA[COA])</f>
        <v>#N/A</v>
      </c>
      <c r="C29" t="s">
        <v>70</v>
      </c>
      <c r="F29" s="31">
        <v>4037140</v>
      </c>
    </row>
    <row r="30" spans="1:7">
      <c r="A30" s="32">
        <v>45715</v>
      </c>
      <c r="B30" s="35" t="e">
        <f>_xlfn.XLOOKUP(Table30[[#This Row],[Keterangan]],COA[Nama Akun],COA[COA])</f>
        <v>#N/A</v>
      </c>
      <c r="C30" t="s">
        <v>131</v>
      </c>
      <c r="E30" s="31">
        <v>925870</v>
      </c>
    </row>
    <row r="31" spans="1:7">
      <c r="A31" s="32">
        <v>45715</v>
      </c>
      <c r="B31" s="35" t="e">
        <f>_xlfn.XLOOKUP(Table30[[#This Row],[Keterangan]],COA[Nama Akun],COA[COA])</f>
        <v>#N/A</v>
      </c>
      <c r="C31" t="s">
        <v>64</v>
      </c>
      <c r="F31" s="31">
        <v>925870</v>
      </c>
    </row>
    <row r="32" spans="1:7">
      <c r="A32" s="32">
        <v>45735</v>
      </c>
      <c r="B32" s="35" t="e">
        <f>_xlfn.XLOOKUP(Table30[[#This Row],[Keterangan]],COA[Nama Akun],COA[COA])</f>
        <v>#N/A</v>
      </c>
      <c r="C32" t="s">
        <v>12</v>
      </c>
      <c r="E32" s="31">
        <v>543000</v>
      </c>
    </row>
    <row r="33" spans="1:6">
      <c r="A33" s="32">
        <v>45735</v>
      </c>
      <c r="B33" s="35" t="e">
        <f>_xlfn.XLOOKUP(Table30[[#This Row],[Keterangan]],COA[Nama Akun],COA[COA])</f>
        <v>#N/A</v>
      </c>
      <c r="C33" t="s">
        <v>130</v>
      </c>
      <c r="F33" s="31">
        <v>27000</v>
      </c>
    </row>
    <row r="34" spans="1:6">
      <c r="A34" s="32">
        <v>45735</v>
      </c>
      <c r="B34" s="35" t="e">
        <f>_xlfn.XLOOKUP(Table30[[#This Row],[Keterangan]],COA[Nama Akun],COA[COA])</f>
        <v>#N/A</v>
      </c>
      <c r="C34" t="s">
        <v>64</v>
      </c>
      <c r="F34" s="31">
        <v>516000</v>
      </c>
    </row>
    <row r="35" spans="1:6">
      <c r="A35" s="32">
        <v>45736</v>
      </c>
      <c r="B35" s="35" t="e">
        <f>_xlfn.XLOOKUP(Table30[[#This Row],[Keterangan]],COA[Nama Akun],COA[COA])</f>
        <v>#N/A</v>
      </c>
      <c r="C35" t="s">
        <v>129</v>
      </c>
      <c r="E35" s="31">
        <v>27000</v>
      </c>
    </row>
    <row r="36" spans="1:6">
      <c r="A36" s="32">
        <v>45736</v>
      </c>
      <c r="B36" s="35" t="e">
        <f>_xlfn.XLOOKUP(Table30[[#This Row],[Keterangan]],COA[Nama Akun],COA[COA])</f>
        <v>#N/A</v>
      </c>
      <c r="C36" t="s">
        <v>64</v>
      </c>
      <c r="F36" s="31">
        <v>27000</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95F88413-892B-47D1-9C0D-FFFE01B26548}">
          <x14:formula1>
            <xm:f>'Kode Akun'!$D:$D</xm:f>
          </x14:formula1>
          <xm:sqref>C6:C36</xm:sqref>
        </x14:dataValidation>
      </x14:dataValidation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C0335-4F17-4C0E-B42D-873D8C3ADF04}">
  <sheetPr>
    <tabColor rgb="FF09C9C8"/>
  </sheetPr>
  <dimension ref="B2:L76"/>
  <sheetViews>
    <sheetView showGridLines="0" showRowColHeaders="0" view="pageBreakPreview" zoomScale="98" zoomScaleNormal="100" zoomScaleSheetLayoutView="98" workbookViewId="0">
      <selection activeCell="G16" sqref="G16"/>
    </sheetView>
  </sheetViews>
  <sheetFormatPr defaultRowHeight="15"/>
  <cols>
    <col min="2" max="2" width="41" bestFit="1" customWidth="1"/>
    <col min="3" max="3" width="13.5703125" bestFit="1" customWidth="1"/>
    <col min="4" max="4" width="8.7109375" bestFit="1" customWidth="1"/>
    <col min="5" max="5" width="13.5703125" bestFit="1" customWidth="1"/>
    <col min="6" max="6" width="53" bestFit="1" customWidth="1"/>
    <col min="10" max="10" width="37.7109375" customWidth="1"/>
    <col min="11" max="11" width="11.28515625" bestFit="1" customWidth="1"/>
    <col min="12" max="12" width="11.42578125" bestFit="1" customWidth="1"/>
  </cols>
  <sheetData>
    <row r="2" spans="2:6">
      <c r="F2" s="21"/>
    </row>
    <row r="3" spans="2:6">
      <c r="F3" s="21"/>
    </row>
    <row r="5" spans="2:6">
      <c r="B5" s="79" t="s">
        <v>179</v>
      </c>
      <c r="F5" s="79" t="str">
        <f>B5</f>
        <v xml:space="preserve">PT URBANE STITCH INDONESIA (PERSERO)  </v>
      </c>
    </row>
    <row r="6" spans="2:6">
      <c r="B6" s="79" t="s">
        <v>289</v>
      </c>
      <c r="F6" s="79" t="s">
        <v>290</v>
      </c>
    </row>
    <row r="7" spans="2:6">
      <c r="B7" s="79" t="s">
        <v>177</v>
      </c>
      <c r="F7" s="79" t="s">
        <v>180</v>
      </c>
    </row>
    <row r="8" spans="2:6">
      <c r="C8" s="67"/>
    </row>
    <row r="9" spans="2:6">
      <c r="C9" s="4" t="s">
        <v>494</v>
      </c>
      <c r="D9" s="4" t="s">
        <v>189</v>
      </c>
      <c r="E9" s="4" t="s">
        <v>456</v>
      </c>
    </row>
    <row r="10" spans="2:6">
      <c r="C10" s="84" t="s">
        <v>496</v>
      </c>
      <c r="D10" s="84" t="s">
        <v>190</v>
      </c>
      <c r="E10" s="84" t="s">
        <v>493</v>
      </c>
    </row>
    <row r="12" spans="2:6">
      <c r="B12" s="4" t="s">
        <v>301</v>
      </c>
      <c r="F12" s="104" t="s">
        <v>306</v>
      </c>
    </row>
    <row r="13" spans="2:6">
      <c r="B13" s="101" t="s">
        <v>586</v>
      </c>
      <c r="C13" s="101">
        <v>25044861</v>
      </c>
      <c r="E13" s="101">
        <v>11820258</v>
      </c>
      <c r="F13" s="21" t="s">
        <v>616</v>
      </c>
    </row>
    <row r="14" spans="2:6">
      <c r="B14" s="101" t="s">
        <v>587</v>
      </c>
      <c r="C14" s="101"/>
      <c r="E14" s="101"/>
      <c r="F14" s="21" t="s">
        <v>617</v>
      </c>
    </row>
    <row r="15" spans="2:6">
      <c r="B15" s="101" t="s">
        <v>588</v>
      </c>
      <c r="C15" s="101">
        <v>0</v>
      </c>
      <c r="E15" s="101">
        <v>400000</v>
      </c>
      <c r="F15" s="281" t="s">
        <v>618</v>
      </c>
    </row>
    <row r="16" spans="2:6">
      <c r="B16" s="101" t="s">
        <v>589</v>
      </c>
      <c r="C16" s="101">
        <v>930855</v>
      </c>
      <c r="E16" s="101">
        <v>0</v>
      </c>
      <c r="F16" s="281" t="s">
        <v>397</v>
      </c>
    </row>
    <row r="17" spans="2:6">
      <c r="B17" s="101" t="s">
        <v>590</v>
      </c>
      <c r="C17" s="101">
        <v>-419543</v>
      </c>
      <c r="E17" s="101">
        <v>0</v>
      </c>
      <c r="F17" s="281" t="s">
        <v>619</v>
      </c>
    </row>
    <row r="18" spans="2:6">
      <c r="B18" s="101" t="s">
        <v>591</v>
      </c>
      <c r="C18" s="101"/>
      <c r="E18" s="101"/>
      <c r="F18" s="21" t="s">
        <v>620</v>
      </c>
    </row>
    <row r="19" spans="2:6">
      <c r="B19" s="101" t="s">
        <v>592</v>
      </c>
      <c r="C19" s="101">
        <v>-4033845</v>
      </c>
      <c r="E19" s="101">
        <v>-34184093</v>
      </c>
      <c r="F19" s="281" t="s">
        <v>621</v>
      </c>
    </row>
    <row r="20" spans="2:6">
      <c r="B20" s="101" t="s">
        <v>593</v>
      </c>
      <c r="C20" s="101">
        <v>3129064</v>
      </c>
      <c r="E20" s="101">
        <v>-3785904</v>
      </c>
      <c r="F20" s="281" t="s">
        <v>622</v>
      </c>
    </row>
    <row r="21" spans="2:6">
      <c r="B21" s="101" t="s">
        <v>594</v>
      </c>
      <c r="C21" s="101">
        <v>-1834493</v>
      </c>
      <c r="E21" s="101">
        <v>-618954</v>
      </c>
      <c r="F21" s="281" t="s">
        <v>623</v>
      </c>
    </row>
    <row r="22" spans="2:6">
      <c r="B22" s="101" t="s">
        <v>595</v>
      </c>
      <c r="C22" s="101">
        <v>16450858</v>
      </c>
      <c r="E22" s="101">
        <v>8292639</v>
      </c>
      <c r="F22" s="281" t="s">
        <v>624</v>
      </c>
    </row>
    <row r="23" spans="2:6">
      <c r="B23" s="101" t="s">
        <v>596</v>
      </c>
      <c r="C23" s="101">
        <v>482564</v>
      </c>
      <c r="E23" s="101">
        <v>3428240</v>
      </c>
      <c r="F23" s="281" t="s">
        <v>625</v>
      </c>
    </row>
    <row r="24" spans="2:6">
      <c r="B24" s="101" t="s">
        <v>597</v>
      </c>
      <c r="C24" s="101">
        <v>-345231</v>
      </c>
      <c r="E24" s="101">
        <v>585231</v>
      </c>
      <c r="F24" s="281" t="s">
        <v>626</v>
      </c>
    </row>
    <row r="25" spans="2:6">
      <c r="B25" s="101" t="s">
        <v>598</v>
      </c>
      <c r="C25" s="101">
        <v>381415</v>
      </c>
      <c r="E25" s="101">
        <v>-396315</v>
      </c>
      <c r="F25" s="281" t="s">
        <v>627</v>
      </c>
    </row>
    <row r="26" spans="2:6" ht="15.75" thickBot="1">
      <c r="B26" s="4" t="s">
        <v>300</v>
      </c>
      <c r="C26" s="107">
        <f>SUM(C13:C25)</f>
        <v>39786505</v>
      </c>
      <c r="E26" s="107">
        <f>SUM(E13:E25)</f>
        <v>-14458898</v>
      </c>
      <c r="F26" s="105" t="s">
        <v>307</v>
      </c>
    </row>
    <row r="27" spans="2:6" ht="15.75" thickTop="1">
      <c r="F27" s="105"/>
    </row>
    <row r="28" spans="2:6">
      <c r="B28" s="4" t="s">
        <v>303</v>
      </c>
      <c r="F28" s="104" t="s">
        <v>308</v>
      </c>
    </row>
    <row r="29" spans="2:6">
      <c r="B29" s="91" t="s">
        <v>599</v>
      </c>
      <c r="C29" s="214">
        <v>-18269545</v>
      </c>
      <c r="D29" s="91"/>
      <c r="E29" s="1">
        <v>0</v>
      </c>
      <c r="F29" s="21" t="s">
        <v>628</v>
      </c>
    </row>
    <row r="30" spans="2:6">
      <c r="B30" s="91" t="s">
        <v>600</v>
      </c>
      <c r="C30" s="214">
        <v>-11000000</v>
      </c>
      <c r="D30" s="91"/>
      <c r="E30" s="1">
        <v>0</v>
      </c>
      <c r="F30" s="21" t="s">
        <v>629</v>
      </c>
    </row>
    <row r="31" spans="2:6">
      <c r="B31" s="91" t="s">
        <v>601</v>
      </c>
      <c r="C31" s="214">
        <v>-9353026</v>
      </c>
      <c r="D31" s="91"/>
      <c r="E31" s="1">
        <v>0</v>
      </c>
      <c r="F31" s="21" t="s">
        <v>630</v>
      </c>
    </row>
    <row r="32" spans="2:6">
      <c r="B32" s="91" t="s">
        <v>602</v>
      </c>
      <c r="C32" s="214">
        <v>419543</v>
      </c>
      <c r="D32" s="91"/>
      <c r="E32" s="1">
        <v>0</v>
      </c>
      <c r="F32" s="21" t="s">
        <v>631</v>
      </c>
    </row>
    <row r="33" spans="2:12" ht="15.75" thickBot="1">
      <c r="B33" s="4" t="s">
        <v>302</v>
      </c>
      <c r="C33" s="279">
        <f>SUM(C29:C32)</f>
        <v>-38203028</v>
      </c>
      <c r="D33" s="93"/>
      <c r="E33" s="107">
        <f>SUM(E29:E32)</f>
        <v>0</v>
      </c>
      <c r="F33" s="105" t="s">
        <v>639</v>
      </c>
    </row>
    <row r="34" spans="2:12" ht="15.75" thickTop="1">
      <c r="F34" s="73"/>
      <c r="J34" s="277"/>
      <c r="K34" s="277"/>
      <c r="L34" s="277"/>
    </row>
    <row r="35" spans="2:12">
      <c r="B35" s="4" t="s">
        <v>305</v>
      </c>
      <c r="F35" s="104" t="s">
        <v>309</v>
      </c>
      <c r="J35" s="101"/>
      <c r="K35" s="101"/>
      <c r="L35" s="101"/>
    </row>
    <row r="36" spans="2:12">
      <c r="B36" s="91" t="s">
        <v>603</v>
      </c>
      <c r="C36" s="214">
        <v>10000000</v>
      </c>
      <c r="E36" s="101">
        <v>0</v>
      </c>
      <c r="F36" s="21" t="s">
        <v>632</v>
      </c>
      <c r="J36" s="101"/>
      <c r="K36" s="101"/>
      <c r="L36" s="101"/>
    </row>
    <row r="37" spans="2:12">
      <c r="B37" s="91" t="s">
        <v>604</v>
      </c>
      <c r="C37" s="214">
        <v>1085067</v>
      </c>
      <c r="E37" s="101">
        <v>0</v>
      </c>
      <c r="F37" s="21" t="s">
        <v>633</v>
      </c>
      <c r="J37" s="101"/>
      <c r="K37" s="101"/>
      <c r="L37" s="101"/>
    </row>
    <row r="38" spans="2:12">
      <c r="B38" s="91" t="s">
        <v>605</v>
      </c>
      <c r="C38" s="214">
        <v>498215</v>
      </c>
      <c r="E38" s="101">
        <v>0</v>
      </c>
      <c r="F38" s="21" t="s">
        <v>634</v>
      </c>
      <c r="J38" s="101"/>
      <c r="K38" s="101"/>
      <c r="L38" s="101"/>
    </row>
    <row r="39" spans="2:12">
      <c r="B39" s="91" t="s">
        <v>606</v>
      </c>
      <c r="C39" s="214">
        <v>4932315</v>
      </c>
      <c r="E39" s="101">
        <v>0</v>
      </c>
      <c r="F39" s="21" t="s">
        <v>635</v>
      </c>
      <c r="J39" s="101"/>
      <c r="K39" s="101"/>
      <c r="L39" s="101"/>
    </row>
    <row r="40" spans="2:12">
      <c r="B40" s="91" t="s">
        <v>607</v>
      </c>
      <c r="C40" s="214">
        <v>6397152</v>
      </c>
      <c r="E40" s="101">
        <v>0</v>
      </c>
      <c r="F40" s="21" t="s">
        <v>636</v>
      </c>
      <c r="J40" s="101"/>
      <c r="K40" s="101"/>
      <c r="L40" s="101"/>
    </row>
    <row r="41" spans="2:12">
      <c r="B41" s="91" t="s">
        <v>608</v>
      </c>
      <c r="C41" s="214">
        <v>-320000</v>
      </c>
      <c r="E41" s="101">
        <v>0</v>
      </c>
      <c r="F41" s="21" t="s">
        <v>637</v>
      </c>
      <c r="J41" s="101"/>
      <c r="K41" s="101"/>
      <c r="L41" s="101"/>
    </row>
    <row r="42" spans="2:12">
      <c r="B42" s="91" t="s">
        <v>609</v>
      </c>
      <c r="C42" s="214">
        <v>-4780000</v>
      </c>
      <c r="E42" s="101">
        <v>18000000</v>
      </c>
      <c r="F42" s="21" t="s">
        <v>638</v>
      </c>
      <c r="J42" s="101"/>
      <c r="K42" s="101"/>
      <c r="L42" s="101"/>
    </row>
    <row r="43" spans="2:12" ht="15.75" thickBot="1">
      <c r="B43" s="4" t="s">
        <v>304</v>
      </c>
      <c r="C43" s="107">
        <f>SUM(C39:C42)</f>
        <v>6229467</v>
      </c>
      <c r="E43" s="280">
        <f>SUM(E36:E42)</f>
        <v>18000000</v>
      </c>
      <c r="F43" s="105" t="s">
        <v>310</v>
      </c>
      <c r="J43" s="101"/>
      <c r="K43" s="101"/>
      <c r="L43" s="101"/>
    </row>
    <row r="44" spans="2:12" ht="15.75" thickTop="1">
      <c r="J44" s="101"/>
      <c r="K44" s="101"/>
      <c r="L44" s="101"/>
    </row>
    <row r="45" spans="2:12">
      <c r="B45" s="91" t="s">
        <v>610</v>
      </c>
      <c r="C45" s="214">
        <f>C26</f>
        <v>39786505</v>
      </c>
      <c r="E45" s="214">
        <f>E26</f>
        <v>-14458898</v>
      </c>
      <c r="F45" s="21" t="s">
        <v>640</v>
      </c>
      <c r="J45" s="101"/>
      <c r="K45" s="101"/>
      <c r="L45" s="101"/>
    </row>
    <row r="46" spans="2:12">
      <c r="B46" s="91" t="s">
        <v>611</v>
      </c>
      <c r="C46" s="101">
        <f>C33</f>
        <v>-38203028</v>
      </c>
      <c r="E46" s="91">
        <f>E33</f>
        <v>0</v>
      </c>
      <c r="F46" s="21" t="s">
        <v>641</v>
      </c>
      <c r="J46" s="101"/>
      <c r="K46" s="101"/>
      <c r="L46" s="101"/>
    </row>
    <row r="47" spans="2:12">
      <c r="B47" s="91" t="s">
        <v>612</v>
      </c>
      <c r="C47" s="214">
        <f>C43</f>
        <v>6229467</v>
      </c>
      <c r="E47" s="214">
        <f>E43</f>
        <v>18000000</v>
      </c>
      <c r="F47" s="21" t="s">
        <v>642</v>
      </c>
      <c r="J47" s="101"/>
      <c r="K47" s="101"/>
      <c r="L47" s="101"/>
    </row>
    <row r="48" spans="2:12">
      <c r="B48" s="93" t="s">
        <v>613</v>
      </c>
      <c r="C48" s="252">
        <f>SUM(C45:C47)</f>
        <v>7812944</v>
      </c>
      <c r="E48" s="252">
        <v>4541102</v>
      </c>
      <c r="F48" s="21" t="s">
        <v>643</v>
      </c>
      <c r="J48" s="101"/>
      <c r="K48" s="101"/>
      <c r="L48" s="101"/>
    </row>
    <row r="49" spans="2:12">
      <c r="F49" s="21"/>
      <c r="J49" s="101"/>
      <c r="K49" s="101"/>
      <c r="L49" s="101"/>
    </row>
    <row r="50" spans="2:12" ht="18">
      <c r="B50" s="72" t="s">
        <v>614</v>
      </c>
      <c r="C50" s="214">
        <v>1668500</v>
      </c>
      <c r="E50">
        <v>0</v>
      </c>
      <c r="F50" s="104" t="s">
        <v>644</v>
      </c>
      <c r="J50" s="101"/>
      <c r="K50" s="101"/>
      <c r="L50" s="101"/>
    </row>
    <row r="51" spans="2:12">
      <c r="B51" t="str">
        <f>B48</f>
        <v>Kenaikan (Penurunan) Bersih Kas</v>
      </c>
      <c r="C51" s="221">
        <f>C48</f>
        <v>7812944</v>
      </c>
      <c r="E51" s="221">
        <f>E48</f>
        <v>4541102</v>
      </c>
      <c r="F51" s="21" t="s">
        <v>643</v>
      </c>
      <c r="J51" s="101"/>
      <c r="K51" s="101"/>
      <c r="L51" s="101"/>
    </row>
    <row r="52" spans="2:12" ht="18">
      <c r="B52" s="72" t="s">
        <v>615</v>
      </c>
      <c r="C52" s="221">
        <f>SUM(C50:C51)</f>
        <v>9481444</v>
      </c>
      <c r="E52" s="221">
        <f>SUM(E50:E51)</f>
        <v>4541102</v>
      </c>
      <c r="F52" s="104" t="s">
        <v>645</v>
      </c>
      <c r="J52" s="101"/>
      <c r="K52" s="101"/>
      <c r="L52" s="101"/>
    </row>
    <row r="53" spans="2:12">
      <c r="J53" s="101"/>
      <c r="K53" s="101"/>
      <c r="L53" s="101"/>
    </row>
    <row r="54" spans="2:12">
      <c r="J54" s="101"/>
      <c r="K54" s="101"/>
      <c r="L54" s="101"/>
    </row>
    <row r="55" spans="2:12">
      <c r="B55" s="19" t="s">
        <v>222</v>
      </c>
      <c r="F55" s="19" t="s">
        <v>646</v>
      </c>
      <c r="J55" s="101"/>
      <c r="K55" s="101"/>
      <c r="L55" s="101"/>
    </row>
    <row r="56" spans="2:12">
      <c r="B56" s="19" t="s">
        <v>223</v>
      </c>
      <c r="F56" s="19" t="s">
        <v>647</v>
      </c>
      <c r="J56" s="101"/>
      <c r="K56" s="101"/>
      <c r="L56" s="101"/>
    </row>
    <row r="57" spans="2:12">
      <c r="B57" s="19" t="s">
        <v>224</v>
      </c>
      <c r="F57" s="19" t="s">
        <v>648</v>
      </c>
      <c r="J57" s="101"/>
      <c r="K57" s="101"/>
      <c r="L57" s="101"/>
    </row>
    <row r="58" spans="2:12">
      <c r="J58" s="101"/>
      <c r="K58" s="101"/>
      <c r="L58" s="101"/>
    </row>
    <row r="59" spans="2:12">
      <c r="J59" s="278"/>
      <c r="K59" s="278"/>
      <c r="L59" s="278"/>
    </row>
    <row r="61" spans="2:12">
      <c r="J61" s="90"/>
      <c r="K61" s="90"/>
      <c r="L61" s="90"/>
    </row>
    <row r="62" spans="2:12">
      <c r="J62" s="91"/>
      <c r="K62" s="214"/>
      <c r="L62" s="91"/>
    </row>
    <row r="63" spans="2:12">
      <c r="J63" s="91"/>
      <c r="K63" s="214"/>
      <c r="L63" s="91"/>
    </row>
    <row r="64" spans="2:12">
      <c r="J64" s="91"/>
      <c r="K64" s="214"/>
      <c r="L64" s="91"/>
    </row>
    <row r="65" spans="10:12">
      <c r="J65" s="91"/>
      <c r="K65" s="214"/>
      <c r="L65" s="91"/>
    </row>
    <row r="66" spans="10:12">
      <c r="J66" s="93"/>
      <c r="K66" s="252"/>
      <c r="L66" s="93"/>
    </row>
    <row r="68" spans="10:12">
      <c r="J68" s="90"/>
      <c r="K68" s="90"/>
      <c r="L68" s="90"/>
    </row>
    <row r="69" spans="10:12">
      <c r="J69" s="91"/>
      <c r="K69" s="214"/>
      <c r="L69" s="91"/>
    </row>
    <row r="70" spans="10:12">
      <c r="J70" s="91"/>
      <c r="K70" s="214"/>
      <c r="L70" s="91"/>
    </row>
    <row r="71" spans="10:12">
      <c r="J71" s="91"/>
      <c r="K71" s="214"/>
      <c r="L71" s="91"/>
    </row>
    <row r="72" spans="10:12">
      <c r="J72" s="91"/>
      <c r="K72" s="214"/>
      <c r="L72" s="91"/>
    </row>
    <row r="73" spans="10:12">
      <c r="J73" s="91"/>
      <c r="K73" s="214"/>
      <c r="L73" s="91"/>
    </row>
    <row r="74" spans="10:12">
      <c r="J74" s="91"/>
      <c r="K74" s="214"/>
      <c r="L74" s="91"/>
    </row>
    <row r="75" spans="10:12">
      <c r="J75" s="91"/>
      <c r="K75" s="214"/>
      <c r="L75" s="214"/>
    </row>
    <row r="76" spans="10:12">
      <c r="J76" s="93"/>
      <c r="K76" s="252"/>
      <c r="L76" s="252"/>
    </row>
  </sheetData>
  <pageMargins left="0.7" right="0.7" top="0.75" bottom="0.75" header="0.3" footer="0.3"/>
  <pageSetup paperSize="9" scale="59" orientation="portrait" r:id="rId1"/>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B2B94-DBE6-49FA-BB6B-135CB08707DB}">
  <sheetPr>
    <tabColor theme="9"/>
  </sheetPr>
  <dimension ref="A6:AD36"/>
  <sheetViews>
    <sheetView showGridLines="0" showRowColHeaders="0" zoomScale="60" zoomScaleNormal="60" workbookViewId="0"/>
  </sheetViews>
  <sheetFormatPr defaultRowHeight="20.100000000000001" customHeight="1"/>
  <cols>
    <col min="1" max="1" width="2.42578125" style="80" customWidth="1"/>
    <col min="2" max="24" width="9.140625" style="80"/>
    <col min="25" max="25" width="9" style="80" bestFit="1" customWidth="1"/>
    <col min="26" max="26" width="20.85546875" style="80" bestFit="1" customWidth="1"/>
    <col min="27" max="27" width="21.5703125" style="80" bestFit="1" customWidth="1"/>
    <col min="28" max="28" width="23.28515625" style="80" bestFit="1" customWidth="1"/>
    <col min="29" max="29" width="24.42578125" style="80" bestFit="1" customWidth="1"/>
    <col min="30" max="34" width="9.140625" style="80"/>
    <col min="35" max="35" width="5.28515625" style="80" customWidth="1"/>
    <col min="36" max="16384" width="9.140625" style="80"/>
  </cols>
  <sheetData>
    <row r="6" spans="1:30" ht="20.100000000000001"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row r="7" spans="1:30" ht="20.100000000000001"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row>
    <row r="8" spans="1:30" ht="20.100000000000001"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row>
    <row r="9" spans="1:30" ht="20.100000000000001"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row>
    <row r="10" spans="1:30" ht="20.100000000000001"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row>
    <row r="11" spans="1:30" ht="20.100000000000001"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ht="20.100000000000001"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row>
    <row r="13" spans="1:30" ht="20.100000000000001"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row>
    <row r="14" spans="1:30" ht="20.100000000000001"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row>
    <row r="15" spans="1:30" ht="20.100000000000001"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row>
    <row r="16" spans="1:30" ht="20.100000000000001"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row>
    <row r="17" spans="1:30" ht="20.100000000000001"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row>
    <row r="18" spans="1:30" ht="20.100000000000001"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row>
    <row r="19" spans="1:30" ht="20.100000000000001"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row>
    <row r="20" spans="1:30" ht="20.100000000000001"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260" t="s">
        <v>168</v>
      </c>
      <c r="Z20" s="259" t="s">
        <v>545</v>
      </c>
      <c r="AA20" s="259" t="s">
        <v>546</v>
      </c>
      <c r="AB20" s="259" t="s">
        <v>547</v>
      </c>
      <c r="AC20" s="259" t="s">
        <v>552</v>
      </c>
      <c r="AD20" s="10"/>
    </row>
    <row r="21" spans="1:30" ht="20.100000000000001"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261" t="s">
        <v>157</v>
      </c>
      <c r="Z21" s="91">
        <v>120.99</v>
      </c>
      <c r="AA21" s="91">
        <v>90.2</v>
      </c>
      <c r="AB21" s="91">
        <v>98.67</v>
      </c>
      <c r="AC21" s="214">
        <v>30223805</v>
      </c>
      <c r="AD21" s="10"/>
    </row>
    <row r="22" spans="1:30" ht="20.100000000000001"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261" t="s">
        <v>158</v>
      </c>
      <c r="Z22" s="91">
        <v>109.11</v>
      </c>
      <c r="AA22" s="91">
        <v>94.62</v>
      </c>
      <c r="AB22" s="91">
        <v>104.43</v>
      </c>
      <c r="AC22" s="214">
        <v>31988162</v>
      </c>
      <c r="AD22" s="10"/>
    </row>
    <row r="23" spans="1:30" ht="20.100000000000001"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261" t="s">
        <v>159</v>
      </c>
      <c r="Z23" s="91">
        <v>132.94</v>
      </c>
      <c r="AA23" s="91">
        <v>94.71</v>
      </c>
      <c r="AB23" s="91">
        <v>110.84</v>
      </c>
      <c r="AC23" s="214">
        <v>33951622</v>
      </c>
      <c r="AD23" s="10"/>
    </row>
    <row r="24" spans="1:30" ht="20.100000000000001"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261" t="s">
        <v>548</v>
      </c>
      <c r="Z24" s="91">
        <v>117.21</v>
      </c>
      <c r="AA24" s="91">
        <v>101.69</v>
      </c>
      <c r="AB24" s="91">
        <v>109.53</v>
      </c>
      <c r="AC24" s="214">
        <v>33550353</v>
      </c>
      <c r="AD24" s="10"/>
    </row>
    <row r="25" spans="1:30" ht="20.100000000000001"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261" t="s">
        <v>161</v>
      </c>
      <c r="Z25" s="91">
        <v>115.73</v>
      </c>
      <c r="AA25" s="91">
        <v>100.32</v>
      </c>
      <c r="AB25" s="91">
        <v>110.33</v>
      </c>
      <c r="AC25" s="214">
        <v>33795403</v>
      </c>
      <c r="AD25" s="10"/>
    </row>
    <row r="26" spans="1:30" ht="20.100000000000001"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261" t="s">
        <v>162</v>
      </c>
      <c r="Z26" s="91">
        <v>130.88</v>
      </c>
      <c r="AA26" s="91">
        <v>101.24</v>
      </c>
      <c r="AB26" s="91">
        <v>118.71</v>
      </c>
      <c r="AC26" s="214">
        <v>36362298</v>
      </c>
      <c r="AD26" s="10"/>
    </row>
    <row r="27" spans="1:30" ht="20.100000000000001"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261" t="s">
        <v>549</v>
      </c>
      <c r="Z27" s="91">
        <v>148.66999999999999</v>
      </c>
      <c r="AA27" s="91">
        <v>106.9</v>
      </c>
      <c r="AB27" s="91">
        <v>140.56</v>
      </c>
      <c r="AC27" s="214">
        <v>43055215</v>
      </c>
      <c r="AD27" s="10"/>
    </row>
    <row r="28" spans="1:30" ht="20.100000000000001"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261" t="s">
        <v>164</v>
      </c>
      <c r="Z28" s="91">
        <v>172.12</v>
      </c>
      <c r="AA28" s="91">
        <v>130.33000000000001</v>
      </c>
      <c r="AB28" s="91">
        <v>136.83000000000001</v>
      </c>
      <c r="AC28" s="214">
        <v>41912671</v>
      </c>
      <c r="AD28" s="10"/>
    </row>
    <row r="29" spans="1:30" ht="20.100000000000001"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261" t="s">
        <v>550</v>
      </c>
      <c r="Z29" s="91">
        <v>176.42</v>
      </c>
      <c r="AA29" s="91">
        <v>126.83</v>
      </c>
      <c r="AB29" s="91">
        <v>131.43</v>
      </c>
      <c r="AC29" s="214">
        <v>40258586</v>
      </c>
      <c r="AD29" s="10"/>
    </row>
    <row r="30" spans="1:30" ht="20.100000000000001"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261" t="s">
        <v>166</v>
      </c>
      <c r="Z30" s="91">
        <v>141.18</v>
      </c>
      <c r="AA30" s="91">
        <v>127.2</v>
      </c>
      <c r="AB30" s="91">
        <v>135.63999999999999</v>
      </c>
      <c r="AC30" s="214">
        <v>41548160</v>
      </c>
      <c r="AD30" s="10"/>
    </row>
    <row r="31" spans="1:30" ht="20.100000000000001"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261" t="s">
        <v>551</v>
      </c>
      <c r="Z31" s="91">
        <v>169.79</v>
      </c>
      <c r="AA31" s="91">
        <v>129.99</v>
      </c>
      <c r="AB31" s="91">
        <v>151.33000000000001</v>
      </c>
      <c r="AC31" s="214">
        <v>46354195</v>
      </c>
      <c r="AD31" s="10"/>
    </row>
    <row r="32" spans="1:30" ht="20.100000000000001"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row>
    <row r="33" spans="1:30" ht="20.100000000000001"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row>
    <row r="34" spans="1:30" ht="20.100000000000001"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row>
    <row r="35" spans="1:30" ht="20.100000000000001"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6" spans="1:30" ht="20.100000000000001"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row>
  </sheetData>
  <pageMargins left="0.7" right="0.7" top="0.75" bottom="0.75" header="0.3" footer="0.3"/>
  <pageSetup paperSize="9" scale="33" orientation="landscape" r:id="rId1"/>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A02D8-8389-4DA8-AD4D-41B1E02AA246}">
  <dimension ref="B1:Z122"/>
  <sheetViews>
    <sheetView showGridLines="0" showRowColHeaders="0" zoomScaleNormal="100" workbookViewId="0"/>
  </sheetViews>
  <sheetFormatPr defaultRowHeight="15"/>
  <cols>
    <col min="3" max="3" width="21.42578125" bestFit="1" customWidth="1"/>
    <col min="4" max="4" width="12.85546875" bestFit="1" customWidth="1"/>
    <col min="5" max="5" width="12.28515625" bestFit="1" customWidth="1"/>
    <col min="6" max="8" width="11.5703125" bestFit="1" customWidth="1"/>
    <col min="9" max="10" width="12.140625" bestFit="1" customWidth="1"/>
    <col min="14" max="14" width="6" bestFit="1" customWidth="1"/>
    <col min="15" max="18" width="19.28515625" customWidth="1"/>
    <col min="23" max="23" width="30.140625" customWidth="1"/>
    <col min="25" max="25" width="12.140625" customWidth="1"/>
    <col min="26" max="26" width="29.5703125" customWidth="1"/>
  </cols>
  <sheetData>
    <row r="1" spans="2:26" ht="18.75">
      <c r="V1" s="266" t="s">
        <v>553</v>
      </c>
      <c r="W1" s="267" t="s">
        <v>0</v>
      </c>
      <c r="Y1" s="266" t="s">
        <v>553</v>
      </c>
      <c r="Z1" s="267" t="s">
        <v>0</v>
      </c>
    </row>
    <row r="2" spans="2:26" ht="75">
      <c r="V2" s="262" t="s">
        <v>554</v>
      </c>
      <c r="W2" s="263" t="s">
        <v>555</v>
      </c>
      <c r="Y2" s="262" t="s">
        <v>564</v>
      </c>
      <c r="Z2" s="263" t="s">
        <v>565</v>
      </c>
    </row>
    <row r="3" spans="2:26" ht="75">
      <c r="B3" t="s">
        <v>520</v>
      </c>
      <c r="E3">
        <v>2025</v>
      </c>
      <c r="F3">
        <v>2024</v>
      </c>
      <c r="H3" s="90" t="s">
        <v>520</v>
      </c>
      <c r="I3" s="258">
        <v>2025</v>
      </c>
      <c r="J3" s="259">
        <v>2024</v>
      </c>
      <c r="V3" s="264" t="s">
        <v>556</v>
      </c>
      <c r="W3" s="265" t="s">
        <v>557</v>
      </c>
      <c r="Y3" s="264" t="s">
        <v>566</v>
      </c>
      <c r="Z3" s="265" t="s">
        <v>567</v>
      </c>
    </row>
    <row r="4" spans="2:26" ht="90">
      <c r="B4" t="s">
        <v>521</v>
      </c>
      <c r="H4" s="93" t="s">
        <v>522</v>
      </c>
      <c r="I4" s="91"/>
      <c r="J4" s="91"/>
      <c r="V4" s="262" t="s">
        <v>558</v>
      </c>
      <c r="W4" s="263" t="s">
        <v>559</v>
      </c>
      <c r="Y4" s="262" t="s">
        <v>568</v>
      </c>
      <c r="Z4" s="263" t="s">
        <v>569</v>
      </c>
    </row>
    <row r="5" spans="2:26" ht="105">
      <c r="B5" s="4"/>
      <c r="H5" s="91" t="s">
        <v>523</v>
      </c>
      <c r="I5" s="255">
        <v>60012789</v>
      </c>
      <c r="J5" s="214">
        <v>39858551</v>
      </c>
      <c r="V5" s="264" t="s">
        <v>560</v>
      </c>
      <c r="W5" s="265" t="s">
        <v>561</v>
      </c>
      <c r="Y5" s="264" t="s">
        <v>570</v>
      </c>
      <c r="Z5" s="265" t="s">
        <v>571</v>
      </c>
    </row>
    <row r="6" spans="2:26" ht="90">
      <c r="B6" t="s">
        <v>182</v>
      </c>
      <c r="C6" s="1"/>
      <c r="D6" s="1"/>
      <c r="E6" s="1"/>
      <c r="H6" s="91" t="s">
        <v>524</v>
      </c>
      <c r="I6" s="255">
        <v>31655122</v>
      </c>
      <c r="J6" s="214">
        <v>2102586</v>
      </c>
      <c r="V6" s="262" t="s">
        <v>562</v>
      </c>
      <c r="W6" s="263" t="s">
        <v>563</v>
      </c>
      <c r="Y6" s="262" t="s">
        <v>562</v>
      </c>
      <c r="Z6" s="263" t="s">
        <v>563</v>
      </c>
    </row>
    <row r="7" spans="2:26" ht="30">
      <c r="B7" t="s">
        <v>187</v>
      </c>
      <c r="D7" s="1"/>
      <c r="E7" s="1">
        <v>9832015.2593671009</v>
      </c>
      <c r="F7" s="1">
        <v>1668500</v>
      </c>
      <c r="H7" s="93" t="s">
        <v>525</v>
      </c>
      <c r="I7" s="256">
        <v>91667911</v>
      </c>
      <c r="J7" s="252">
        <v>41961137</v>
      </c>
    </row>
    <row r="8" spans="2:26">
      <c r="B8" t="s">
        <v>1</v>
      </c>
      <c r="D8" s="1"/>
      <c r="E8" s="1">
        <v>0</v>
      </c>
      <c r="F8" s="1">
        <v>0</v>
      </c>
      <c r="H8" s="91"/>
      <c r="I8" s="254"/>
      <c r="J8" s="91"/>
    </row>
    <row r="9" spans="2:26">
      <c r="B9" t="s">
        <v>183</v>
      </c>
      <c r="D9" s="1"/>
      <c r="E9" s="1">
        <v>38217937.600000001</v>
      </c>
      <c r="F9" s="1">
        <v>34184093.38787879</v>
      </c>
      <c r="H9" s="93" t="s">
        <v>526</v>
      </c>
      <c r="I9" s="254"/>
      <c r="J9" s="91"/>
    </row>
    <row r="10" spans="2:26" ht="60">
      <c r="B10" t="s">
        <v>184</v>
      </c>
      <c r="D10" s="1"/>
      <c r="E10" s="1">
        <v>656839.59899748862</v>
      </c>
      <c r="F10" s="1">
        <v>3785904.4314325638</v>
      </c>
      <c r="H10" s="91" t="s">
        <v>527</v>
      </c>
      <c r="I10" s="255">
        <v>52127050</v>
      </c>
      <c r="J10" s="214">
        <v>12306110</v>
      </c>
    </row>
    <row r="11" spans="2:26" ht="30">
      <c r="B11" t="s">
        <v>185</v>
      </c>
      <c r="D11" s="1"/>
      <c r="E11" s="1">
        <v>0</v>
      </c>
      <c r="F11" s="1">
        <v>0</v>
      </c>
      <c r="H11" s="93" t="s">
        <v>528</v>
      </c>
      <c r="I11" s="256">
        <v>52127050</v>
      </c>
      <c r="J11" s="252">
        <v>12306110</v>
      </c>
    </row>
    <row r="12" spans="2:26">
      <c r="B12" t="s">
        <v>122</v>
      </c>
      <c r="D12" s="1"/>
      <c r="E12" s="1">
        <v>-14900</v>
      </c>
      <c r="F12" s="1">
        <v>-396315</v>
      </c>
      <c r="H12" s="91"/>
      <c r="I12" s="254"/>
      <c r="J12" s="91"/>
    </row>
    <row r="13" spans="2:26">
      <c r="B13" t="s">
        <v>413</v>
      </c>
      <c r="D13" s="1"/>
      <c r="E13" s="1">
        <v>0</v>
      </c>
      <c r="F13" s="1">
        <v>1000000</v>
      </c>
      <c r="H13" s="93" t="s">
        <v>529</v>
      </c>
      <c r="I13" s="254"/>
      <c r="J13" s="91"/>
    </row>
    <row r="14" spans="2:26" ht="45">
      <c r="B14" t="s">
        <v>452</v>
      </c>
      <c r="D14" s="1"/>
      <c r="E14" s="1">
        <v>0</v>
      </c>
      <c r="F14" s="1">
        <v>-100000</v>
      </c>
      <c r="H14" s="91" t="s">
        <v>530</v>
      </c>
      <c r="I14" s="255">
        <v>13220000</v>
      </c>
      <c r="J14" s="214">
        <v>18000000</v>
      </c>
    </row>
    <row r="15" spans="2:26" ht="30">
      <c r="B15" t="s">
        <v>69</v>
      </c>
      <c r="D15" s="1"/>
      <c r="E15" s="1">
        <v>600000</v>
      </c>
      <c r="F15" s="1">
        <v>1500000</v>
      </c>
      <c r="H15" s="91" t="s">
        <v>293</v>
      </c>
      <c r="I15" s="255">
        <v>24724861</v>
      </c>
      <c r="J15" s="214">
        <v>11655027</v>
      </c>
    </row>
    <row r="16" spans="2:26" ht="30">
      <c r="B16" t="s">
        <v>451</v>
      </c>
      <c r="D16" s="1"/>
      <c r="E16" s="1">
        <v>0</v>
      </c>
      <c r="F16" s="1">
        <v>-300000</v>
      </c>
      <c r="H16" s="91" t="s">
        <v>531</v>
      </c>
      <c r="I16" s="255">
        <v>1596000</v>
      </c>
      <c r="J16" s="91" t="s">
        <v>341</v>
      </c>
    </row>
    <row r="17" spans="2:18" ht="30">
      <c r="B17" t="s">
        <v>404</v>
      </c>
      <c r="D17" s="1"/>
      <c r="E17" s="1">
        <v>19169545.259128027</v>
      </c>
      <c r="F17" s="1">
        <v>0</v>
      </c>
      <c r="H17" s="93" t="s">
        <v>532</v>
      </c>
      <c r="I17" s="256">
        <v>39540861</v>
      </c>
      <c r="J17" s="252">
        <v>29655027</v>
      </c>
    </row>
    <row r="18" spans="2:18">
      <c r="B18" t="s">
        <v>410</v>
      </c>
      <c r="D18" s="1"/>
      <c r="E18" s="1">
        <v>0</v>
      </c>
      <c r="F18" s="1">
        <v>0</v>
      </c>
      <c r="H18" s="91"/>
      <c r="I18" s="254"/>
      <c r="J18" s="91"/>
      <c r="Q18" t="s">
        <v>544</v>
      </c>
    </row>
    <row r="19" spans="2:18" ht="30">
      <c r="B19" t="s">
        <v>454</v>
      </c>
      <c r="D19" s="1"/>
      <c r="E19" s="1">
        <v>400000</v>
      </c>
      <c r="F19" s="1">
        <v>0</v>
      </c>
      <c r="H19" s="93" t="s">
        <v>533</v>
      </c>
      <c r="I19" s="254"/>
      <c r="J19" s="91"/>
      <c r="Q19" t="s">
        <v>157</v>
      </c>
      <c r="R19">
        <v>100</v>
      </c>
    </row>
    <row r="20" spans="2:18" ht="30">
      <c r="B20" t="s">
        <v>150</v>
      </c>
      <c r="D20" s="1"/>
      <c r="E20" s="1">
        <v>2453446.875</v>
      </c>
      <c r="F20" s="1">
        <v>618954</v>
      </c>
      <c r="H20" s="91" t="s">
        <v>534</v>
      </c>
      <c r="I20" s="255">
        <v>33495914</v>
      </c>
      <c r="J20" s="214">
        <v>30755854</v>
      </c>
      <c r="Q20" t="s">
        <v>158</v>
      </c>
      <c r="R20">
        <v>104</v>
      </c>
    </row>
    <row r="21" spans="2:18" ht="45">
      <c r="B21" t="s">
        <v>490</v>
      </c>
      <c r="D21" s="1"/>
      <c r="E21" s="1">
        <v>11000000</v>
      </c>
      <c r="F21" s="1">
        <v>0</v>
      </c>
      <c r="H21" s="91" t="s">
        <v>535</v>
      </c>
      <c r="I21" s="255">
        <v>33207486</v>
      </c>
      <c r="J21" s="91" t="s">
        <v>341</v>
      </c>
      <c r="Q21" t="s">
        <v>159</v>
      </c>
      <c r="R21">
        <v>109</v>
      </c>
    </row>
    <row r="22" spans="2:18" ht="30">
      <c r="B22" t="s">
        <v>500</v>
      </c>
      <c r="D22" s="1"/>
      <c r="E22" s="1">
        <v>9353026.1394610498</v>
      </c>
      <c r="F22" s="1">
        <v>0</v>
      </c>
      <c r="H22" s="93" t="s">
        <v>120</v>
      </c>
      <c r="I22" s="256">
        <v>66703400</v>
      </c>
      <c r="J22" s="252">
        <v>30755854</v>
      </c>
      <c r="Q22" t="s">
        <v>160</v>
      </c>
      <c r="R22">
        <v>107</v>
      </c>
    </row>
    <row r="23" spans="2:18">
      <c r="B23" t="s">
        <v>508</v>
      </c>
      <c r="D23" s="1"/>
      <c r="E23" s="1">
        <v>0</v>
      </c>
      <c r="F23" s="1">
        <v>0</v>
      </c>
      <c r="H23" s="91"/>
      <c r="I23" s="254"/>
      <c r="J23" s="91"/>
      <c r="Q23" t="s">
        <v>161</v>
      </c>
      <c r="R23">
        <v>108</v>
      </c>
    </row>
    <row r="24" spans="2:18" ht="90">
      <c r="B24" t="s">
        <v>191</v>
      </c>
      <c r="D24" s="1"/>
      <c r="E24" s="1">
        <v>91667910.731953666</v>
      </c>
      <c r="F24" s="1">
        <v>41961136.819311351</v>
      </c>
      <c r="H24" s="91" t="s">
        <v>536</v>
      </c>
      <c r="I24" s="255">
        <v>41658539</v>
      </c>
      <c r="J24" s="214">
        <v>18935596</v>
      </c>
      <c r="Q24" t="s">
        <v>162</v>
      </c>
      <c r="R24">
        <v>140</v>
      </c>
    </row>
    <row r="25" spans="2:18">
      <c r="H25" s="93" t="s">
        <v>537</v>
      </c>
      <c r="I25" s="256">
        <v>25044861</v>
      </c>
      <c r="J25" s="252">
        <v>11820258</v>
      </c>
      <c r="Q25" t="s">
        <v>163</v>
      </c>
      <c r="R25">
        <v>138</v>
      </c>
    </row>
    <row r="26" spans="2:18" ht="60">
      <c r="B26" t="s">
        <v>192</v>
      </c>
      <c r="H26" s="91" t="s">
        <v>538</v>
      </c>
      <c r="I26" s="254" t="s">
        <v>341</v>
      </c>
      <c r="J26" s="214">
        <v>165231</v>
      </c>
      <c r="Q26" t="s">
        <v>164</v>
      </c>
      <c r="R26">
        <v>135</v>
      </c>
    </row>
    <row r="27" spans="2:18" ht="45">
      <c r="B27" t="s">
        <v>193</v>
      </c>
      <c r="H27" s="93" t="s">
        <v>539</v>
      </c>
      <c r="I27" s="256">
        <v>25044861</v>
      </c>
      <c r="J27" s="252">
        <v>11655027</v>
      </c>
      <c r="Q27" t="s">
        <v>165</v>
      </c>
      <c r="R27">
        <v>132</v>
      </c>
    </row>
    <row r="28" spans="2:18">
      <c r="B28" t="s">
        <v>195</v>
      </c>
      <c r="E28" s="1">
        <v>24743497.375</v>
      </c>
      <c r="F28" s="1">
        <v>8292639</v>
      </c>
      <c r="H28" s="91"/>
      <c r="I28" s="254"/>
      <c r="J28" s="91"/>
      <c r="Q28" t="s">
        <v>166</v>
      </c>
      <c r="R28">
        <v>128</v>
      </c>
    </row>
    <row r="29" spans="2:18" ht="45">
      <c r="B29" t="s">
        <v>194</v>
      </c>
      <c r="E29" s="1">
        <v>240000</v>
      </c>
      <c r="F29" s="1">
        <v>585231.02727272734</v>
      </c>
      <c r="H29" s="93" t="s">
        <v>540</v>
      </c>
      <c r="I29" s="254"/>
      <c r="J29" s="91"/>
      <c r="Q29" t="s">
        <v>167</v>
      </c>
      <c r="R29">
        <v>130</v>
      </c>
    </row>
    <row r="30" spans="2:18" ht="45">
      <c r="B30" t="s">
        <v>329</v>
      </c>
      <c r="E30" s="1">
        <v>3910803.5999999996</v>
      </c>
      <c r="F30" s="1">
        <v>3428239.8222222221</v>
      </c>
      <c r="H30" s="91" t="s">
        <v>541</v>
      </c>
      <c r="I30" s="257">
        <v>0.375</v>
      </c>
      <c r="J30" s="253">
        <v>0.379</v>
      </c>
    </row>
    <row r="31" spans="2:18" ht="45">
      <c r="B31" t="s">
        <v>196</v>
      </c>
      <c r="E31" s="1">
        <v>0</v>
      </c>
      <c r="F31" s="1">
        <v>0</v>
      </c>
      <c r="H31" s="91" t="s">
        <v>542</v>
      </c>
      <c r="I31" s="257">
        <v>0.63400000000000001</v>
      </c>
      <c r="J31" s="253">
        <v>0.39300000000000002</v>
      </c>
      <c r="N31" s="260" t="s">
        <v>168</v>
      </c>
      <c r="O31" s="259" t="s">
        <v>545</v>
      </c>
      <c r="P31" s="259" t="s">
        <v>546</v>
      </c>
      <c r="Q31" s="259" t="s">
        <v>547</v>
      </c>
      <c r="R31" s="259" t="s">
        <v>552</v>
      </c>
    </row>
    <row r="32" spans="2:18" ht="60">
      <c r="B32" t="s">
        <v>197</v>
      </c>
      <c r="E32" s="1">
        <v>498214.64719276788</v>
      </c>
      <c r="F32" s="1">
        <v>0</v>
      </c>
      <c r="H32" s="91" t="s">
        <v>543</v>
      </c>
      <c r="I32" s="257">
        <v>0.56799999999999995</v>
      </c>
      <c r="J32" s="253">
        <v>0.29299999999999998</v>
      </c>
      <c r="N32" s="261" t="s">
        <v>157</v>
      </c>
      <c r="O32" s="91">
        <v>120.99</v>
      </c>
      <c r="P32" s="91">
        <v>90.2</v>
      </c>
      <c r="Q32" s="91">
        <v>98.67</v>
      </c>
      <c r="R32" s="214">
        <v>30223805</v>
      </c>
    </row>
    <row r="33" spans="2:18">
      <c r="B33" t="s">
        <v>361</v>
      </c>
      <c r="E33" s="1">
        <v>10000000</v>
      </c>
      <c r="F33" s="1">
        <v>0</v>
      </c>
      <c r="N33" s="261" t="s">
        <v>158</v>
      </c>
      <c r="O33" s="91">
        <v>109.11</v>
      </c>
      <c r="P33" s="91">
        <v>94.62</v>
      </c>
      <c r="Q33" s="91">
        <v>104.43</v>
      </c>
      <c r="R33" s="214">
        <v>31988162</v>
      </c>
    </row>
    <row r="34" spans="2:18">
      <c r="B34" t="s">
        <v>364</v>
      </c>
      <c r="E34" s="1">
        <v>1085067.0551199091</v>
      </c>
      <c r="F34" s="1">
        <v>0</v>
      </c>
      <c r="N34" s="261" t="s">
        <v>159</v>
      </c>
      <c r="O34" s="91">
        <v>132.94</v>
      </c>
      <c r="P34" s="91">
        <v>94.71</v>
      </c>
      <c r="Q34" s="91">
        <v>110.84</v>
      </c>
      <c r="R34" s="214">
        <v>33951622</v>
      </c>
    </row>
    <row r="35" spans="2:18">
      <c r="B35" t="s">
        <v>469</v>
      </c>
      <c r="E35" s="1">
        <v>0</v>
      </c>
      <c r="F35" s="1">
        <v>0</v>
      </c>
      <c r="N35" s="261" t="s">
        <v>548</v>
      </c>
      <c r="O35" s="91">
        <v>117.21</v>
      </c>
      <c r="P35" s="91">
        <v>101.69</v>
      </c>
      <c r="Q35" s="91">
        <v>109.53</v>
      </c>
      <c r="R35" s="214">
        <v>33550353</v>
      </c>
    </row>
    <row r="36" spans="2:18">
      <c r="B36" t="s">
        <v>367</v>
      </c>
      <c r="E36" s="1">
        <v>4932315.1940010954</v>
      </c>
      <c r="F36" s="1">
        <v>0</v>
      </c>
      <c r="N36" s="261" t="s">
        <v>161</v>
      </c>
      <c r="O36" s="91">
        <v>115.73</v>
      </c>
      <c r="P36" s="91">
        <v>100.32</v>
      </c>
      <c r="Q36" s="91">
        <v>110.33</v>
      </c>
      <c r="R36" s="214">
        <v>33795403</v>
      </c>
    </row>
    <row r="37" spans="2:18">
      <c r="B37" t="s">
        <v>477</v>
      </c>
      <c r="E37" s="1">
        <v>6397151.9999999981</v>
      </c>
      <c r="F37" s="1">
        <v>0</v>
      </c>
      <c r="N37" s="261" t="s">
        <v>162</v>
      </c>
      <c r="O37" s="91">
        <v>130.88</v>
      </c>
      <c r="P37" s="91">
        <v>101.24</v>
      </c>
      <c r="Q37" s="91">
        <v>118.71</v>
      </c>
      <c r="R37" s="214">
        <v>36362298</v>
      </c>
    </row>
    <row r="38" spans="2:18">
      <c r="B38" t="s">
        <v>481</v>
      </c>
      <c r="E38" s="1">
        <v>320000</v>
      </c>
      <c r="F38" s="1">
        <v>0</v>
      </c>
      <c r="N38" s="261" t="s">
        <v>549</v>
      </c>
      <c r="O38" s="91">
        <v>148.66999999999999</v>
      </c>
      <c r="P38" s="91">
        <v>106.9</v>
      </c>
      <c r="Q38" s="91">
        <v>140.56</v>
      </c>
      <c r="R38" s="214">
        <v>43055215</v>
      </c>
    </row>
    <row r="39" spans="2:18">
      <c r="B39" t="s">
        <v>510</v>
      </c>
      <c r="E39" s="1">
        <v>0</v>
      </c>
      <c r="F39" s="1">
        <v>0</v>
      </c>
      <c r="N39" s="261" t="s">
        <v>164</v>
      </c>
      <c r="O39" s="91">
        <v>172.12</v>
      </c>
      <c r="P39" s="91">
        <v>130.33000000000001</v>
      </c>
      <c r="Q39" s="91">
        <v>136.83000000000001</v>
      </c>
      <c r="R39" s="214">
        <v>41912671</v>
      </c>
    </row>
    <row r="40" spans="2:18">
      <c r="B40" t="s">
        <v>198</v>
      </c>
      <c r="E40" s="1">
        <v>52127049.871313773</v>
      </c>
      <c r="F40" s="1">
        <v>12306109.849494949</v>
      </c>
      <c r="N40" s="261" t="s">
        <v>550</v>
      </c>
      <c r="O40" s="91">
        <v>176.42</v>
      </c>
      <c r="P40" s="91">
        <v>126.83</v>
      </c>
      <c r="Q40" s="91">
        <v>131.43</v>
      </c>
      <c r="R40" s="214">
        <v>40258586</v>
      </c>
    </row>
    <row r="41" spans="2:18">
      <c r="E41" s="1"/>
      <c r="F41" s="1"/>
      <c r="N41" s="261" t="s">
        <v>166</v>
      </c>
      <c r="O41" s="91">
        <v>141.18</v>
      </c>
      <c r="P41" s="91">
        <v>127.2</v>
      </c>
      <c r="Q41" s="91">
        <v>135.63999999999999</v>
      </c>
      <c r="R41" s="214">
        <v>41548160</v>
      </c>
    </row>
    <row r="42" spans="2:18">
      <c r="B42" t="s">
        <v>199</v>
      </c>
      <c r="E42" s="1"/>
      <c r="F42" s="1"/>
      <c r="N42" s="261" t="s">
        <v>551</v>
      </c>
      <c r="O42" s="91">
        <v>169.79</v>
      </c>
      <c r="P42" s="91">
        <v>129.99</v>
      </c>
      <c r="Q42" s="91">
        <v>151.33000000000001</v>
      </c>
      <c r="R42" s="214">
        <v>46354195</v>
      </c>
    </row>
    <row r="43" spans="2:18">
      <c r="B43" t="s">
        <v>313</v>
      </c>
      <c r="E43" s="1">
        <v>13220000</v>
      </c>
      <c r="F43" s="1">
        <v>18000000</v>
      </c>
    </row>
    <row r="44" spans="2:18">
      <c r="B44" t="s">
        <v>486</v>
      </c>
      <c r="E44" s="1"/>
      <c r="F44" s="1"/>
    </row>
    <row r="45" spans="2:18">
      <c r="B45" t="s">
        <v>485</v>
      </c>
      <c r="E45" s="1"/>
      <c r="F45" s="1"/>
    </row>
    <row r="46" spans="2:18">
      <c r="B46" t="s">
        <v>484</v>
      </c>
      <c r="E46" s="1"/>
      <c r="F46" s="1"/>
    </row>
    <row r="47" spans="2:18">
      <c r="B47" t="s">
        <v>293</v>
      </c>
      <c r="E47" s="1">
        <v>24724860.860639893</v>
      </c>
      <c r="F47" s="1">
        <v>11655026.969816402</v>
      </c>
    </row>
    <row r="48" spans="2:18">
      <c r="B48" t="s">
        <v>407</v>
      </c>
      <c r="E48" s="1">
        <v>1596000</v>
      </c>
      <c r="F48" s="1">
        <v>0</v>
      </c>
    </row>
    <row r="49" spans="2:6">
      <c r="B49" t="s">
        <v>200</v>
      </c>
      <c r="E49" s="1">
        <v>39540860.860639893</v>
      </c>
      <c r="F49" s="1">
        <v>29655026.969816402</v>
      </c>
    </row>
    <row r="50" spans="2:6">
      <c r="B50" t="s">
        <v>201</v>
      </c>
      <c r="E50" s="1">
        <v>91667910.731953666</v>
      </c>
      <c r="F50" s="1">
        <v>41961136.819311351</v>
      </c>
    </row>
    <row r="52" spans="2:6">
      <c r="B52" t="s">
        <v>209</v>
      </c>
    </row>
    <row r="53" spans="2:6">
      <c r="B53" t="s">
        <v>211</v>
      </c>
      <c r="E53" s="1">
        <v>53239904</v>
      </c>
      <c r="F53" s="1">
        <v>33046205.454545453</v>
      </c>
    </row>
    <row r="54" spans="2:6">
      <c r="B54" t="s">
        <v>146</v>
      </c>
      <c r="E54" s="1">
        <v>405610</v>
      </c>
      <c r="F54" s="1">
        <v>-409963</v>
      </c>
    </row>
    <row r="55" spans="2:6">
      <c r="B55" t="s">
        <v>283</v>
      </c>
      <c r="E55" s="1">
        <v>-19338380</v>
      </c>
      <c r="F55" s="1">
        <v>-1880388.888888889</v>
      </c>
    </row>
    <row r="56" spans="2:6">
      <c r="B56" t="s">
        <v>392</v>
      </c>
      <c r="E56" s="1">
        <v>31976722.859128028</v>
      </c>
      <c r="F56" s="1">
        <v>0</v>
      </c>
    </row>
    <row r="57" spans="2:6">
      <c r="B57" t="s">
        <v>461</v>
      </c>
      <c r="E57" s="1">
        <v>419543.24723230896</v>
      </c>
      <c r="F57" s="1">
        <v>0</v>
      </c>
    </row>
    <row r="58" spans="2:6">
      <c r="B58" t="s">
        <v>212</v>
      </c>
      <c r="E58" s="1">
        <v>66703400.106360339</v>
      </c>
      <c r="F58" s="1">
        <v>30755853.565656565</v>
      </c>
    </row>
    <row r="59" spans="2:6">
      <c r="E59" s="1"/>
      <c r="F59" s="1"/>
    </row>
    <row r="60" spans="2:6">
      <c r="B60" t="s">
        <v>214</v>
      </c>
      <c r="E60" s="1"/>
      <c r="F60" s="1"/>
    </row>
    <row r="61" spans="2:6">
      <c r="B61" t="s">
        <v>414</v>
      </c>
      <c r="E61" s="1">
        <v>0</v>
      </c>
      <c r="F61" s="1">
        <v>0</v>
      </c>
    </row>
    <row r="62" spans="2:6">
      <c r="B62" t="s">
        <v>415</v>
      </c>
      <c r="E62" s="1">
        <v>2400000</v>
      </c>
      <c r="F62" s="1">
        <v>4200000</v>
      </c>
    </row>
    <row r="63" spans="2:6">
      <c r="B63" t="s">
        <v>416</v>
      </c>
      <c r="E63" s="1">
        <v>0</v>
      </c>
      <c r="F63" s="1">
        <v>0</v>
      </c>
    </row>
    <row r="64" spans="2:6">
      <c r="B64" t="s">
        <v>417</v>
      </c>
      <c r="E64" s="1">
        <v>440000</v>
      </c>
      <c r="F64" s="1">
        <v>770000</v>
      </c>
    </row>
    <row r="65" spans="2:6">
      <c r="B65" t="s">
        <v>418</v>
      </c>
      <c r="E65" s="1">
        <v>0</v>
      </c>
      <c r="F65" s="1">
        <v>400000</v>
      </c>
    </row>
    <row r="66" spans="2:6">
      <c r="B66" t="s">
        <v>419</v>
      </c>
      <c r="E66" s="1">
        <v>16240217.6</v>
      </c>
      <c r="F66" s="1">
        <v>0</v>
      </c>
    </row>
    <row r="67" spans="2:6">
      <c r="B67" t="s">
        <v>420</v>
      </c>
      <c r="E67" s="1">
        <v>0</v>
      </c>
      <c r="F67" s="1">
        <v>0</v>
      </c>
    </row>
    <row r="68" spans="2:6">
      <c r="B68" t="s">
        <v>421</v>
      </c>
      <c r="E68" s="1">
        <v>0</v>
      </c>
      <c r="F68" s="1">
        <v>0</v>
      </c>
    </row>
    <row r="69" spans="2:6">
      <c r="B69" t="s">
        <v>125</v>
      </c>
      <c r="E69" s="1">
        <v>21647222.901002511</v>
      </c>
      <c r="F69" s="1">
        <v>13565595.568567436</v>
      </c>
    </row>
    <row r="70" spans="2:6">
      <c r="B70" t="s">
        <v>395</v>
      </c>
      <c r="E70" s="1">
        <v>930855.45564537984</v>
      </c>
      <c r="F70" s="1">
        <v>0</v>
      </c>
    </row>
    <row r="71" spans="2:6">
      <c r="B71" t="s">
        <v>285</v>
      </c>
      <c r="E71" s="1">
        <v>0</v>
      </c>
      <c r="F71" s="1">
        <v>0</v>
      </c>
    </row>
    <row r="72" spans="2:6">
      <c r="B72" t="s">
        <v>505</v>
      </c>
      <c r="E72" s="1">
        <v>243.28907254999078</v>
      </c>
      <c r="F72" s="1">
        <v>0</v>
      </c>
    </row>
    <row r="73" spans="2:6">
      <c r="B73" t="s">
        <v>213</v>
      </c>
      <c r="E73" s="1">
        <v>41658539.245720446</v>
      </c>
      <c r="F73" s="1">
        <v>18935595.568567436</v>
      </c>
    </row>
    <row r="74" spans="2:6">
      <c r="B74" t="s">
        <v>217</v>
      </c>
      <c r="E74" s="1">
        <v>25044860.860639893</v>
      </c>
      <c r="F74" s="1">
        <v>11820257.997089129</v>
      </c>
    </row>
    <row r="75" spans="2:6">
      <c r="B75" t="s">
        <v>497</v>
      </c>
      <c r="E75" s="1"/>
      <c r="F75" s="1">
        <v>165231.02727272728</v>
      </c>
    </row>
    <row r="76" spans="2:6">
      <c r="B76" t="s">
        <v>220</v>
      </c>
      <c r="E76" s="1">
        <v>25044860.860639893</v>
      </c>
      <c r="F76" s="1">
        <v>11655026.969816402</v>
      </c>
    </row>
    <row r="78" spans="2:6">
      <c r="C78">
        <v>2025</v>
      </c>
      <c r="D78">
        <v>2024</v>
      </c>
    </row>
    <row r="79" spans="2:6">
      <c r="B79" t="s">
        <v>572</v>
      </c>
      <c r="C79" s="1">
        <v>91667910.731953666</v>
      </c>
      <c r="D79" s="1">
        <v>41961136.819311351</v>
      </c>
    </row>
    <row r="80" spans="2:6">
      <c r="B80" t="s">
        <v>573</v>
      </c>
      <c r="C80" s="1">
        <v>52127049.871313773</v>
      </c>
      <c r="D80" s="1">
        <v>12306109.849494949</v>
      </c>
    </row>
    <row r="81" spans="2:5">
      <c r="B81" t="s">
        <v>199</v>
      </c>
      <c r="C81" s="1">
        <v>91667910.731953666</v>
      </c>
      <c r="D81" s="1">
        <v>41961136.819311351</v>
      </c>
    </row>
    <row r="83" spans="2:5">
      <c r="C83">
        <v>2024</v>
      </c>
      <c r="D83">
        <v>2025</v>
      </c>
    </row>
    <row r="84" spans="2:5">
      <c r="B84" t="s">
        <v>209</v>
      </c>
      <c r="C84" s="1">
        <v>30755853.565656565</v>
      </c>
      <c r="D84" s="1">
        <v>66703400.106360339</v>
      </c>
    </row>
    <row r="85" spans="2:5">
      <c r="B85" t="s">
        <v>214</v>
      </c>
      <c r="C85" s="1">
        <v>18935595.568567436</v>
      </c>
      <c r="D85" s="1">
        <v>41658539.245720446</v>
      </c>
    </row>
    <row r="86" spans="2:5">
      <c r="B86" t="s">
        <v>220</v>
      </c>
      <c r="C86" s="1">
        <v>11655026.969816402</v>
      </c>
      <c r="D86" s="1">
        <v>25044860.860639893</v>
      </c>
    </row>
    <row r="87" spans="2:5">
      <c r="B87" t="s">
        <v>574</v>
      </c>
      <c r="C87" s="268">
        <f>D86/C81</f>
        <v>0.27321295599147694</v>
      </c>
      <c r="D87" s="268">
        <f>C86/D81</f>
        <v>0.27775765513703926</v>
      </c>
    </row>
    <row r="96" spans="2:5" ht="15.75">
      <c r="B96" s="90"/>
      <c r="C96" s="274" t="s">
        <v>575</v>
      </c>
      <c r="D96" s="274" t="s">
        <v>576</v>
      </c>
      <c r="E96" s="274" t="s">
        <v>577</v>
      </c>
    </row>
    <row r="97" spans="2:10">
      <c r="B97" s="93"/>
      <c r="C97" s="254" t="s">
        <v>578</v>
      </c>
      <c r="D97" s="269">
        <v>1.74</v>
      </c>
      <c r="E97" s="269">
        <v>3.27</v>
      </c>
    </row>
    <row r="98" spans="2:10">
      <c r="B98" s="93"/>
      <c r="C98" s="270" t="s">
        <v>579</v>
      </c>
      <c r="D98" s="271">
        <v>0.56869999999999998</v>
      </c>
      <c r="E98" s="271">
        <v>0.29330000000000001</v>
      </c>
    </row>
    <row r="99" spans="2:10" ht="30">
      <c r="B99" s="93"/>
      <c r="C99" s="272" t="s">
        <v>581</v>
      </c>
      <c r="D99" s="273">
        <v>27.91</v>
      </c>
      <c r="E99" s="272" t="s">
        <v>580</v>
      </c>
    </row>
    <row r="102" spans="2:10">
      <c r="C102" s="1">
        <v>38217937.600000001</v>
      </c>
      <c r="D102" s="3">
        <f>C102-D111</f>
        <v>1177937.5454545468</v>
      </c>
    </row>
    <row r="103" spans="2:10">
      <c r="C103" s="282" t="s">
        <v>252</v>
      </c>
      <c r="D103" s="282" t="s">
        <v>253</v>
      </c>
      <c r="E103" s="282" t="s">
        <v>254</v>
      </c>
      <c r="F103" s="282" t="s">
        <v>255</v>
      </c>
      <c r="G103" s="282" t="s">
        <v>256</v>
      </c>
      <c r="H103" s="282" t="s">
        <v>257</v>
      </c>
      <c r="I103" s="282" t="s">
        <v>258</v>
      </c>
      <c r="J103" s="282" t="s">
        <v>259</v>
      </c>
    </row>
    <row r="104" spans="2:10">
      <c r="C104" s="283" t="s">
        <v>136</v>
      </c>
      <c r="D104" s="284">
        <f>6690000+1177938</f>
        <v>7867938</v>
      </c>
      <c r="E104" s="284">
        <v>2020000</v>
      </c>
      <c r="F104" s="284">
        <f>920000+1177938</f>
        <v>2097938</v>
      </c>
      <c r="G104" s="284"/>
      <c r="H104" s="284"/>
      <c r="I104" s="284"/>
      <c r="J104" s="284">
        <v>3750000</v>
      </c>
    </row>
    <row r="105" spans="2:10">
      <c r="C105" s="283" t="s">
        <v>137</v>
      </c>
      <c r="D105" s="284">
        <v>8770000</v>
      </c>
      <c r="E105" s="284">
        <v>1930000</v>
      </c>
      <c r="F105" s="284"/>
      <c r="G105" s="284">
        <v>4070000</v>
      </c>
      <c r="H105" s="284">
        <v>340000</v>
      </c>
      <c r="I105" s="284">
        <v>2430000</v>
      </c>
      <c r="J105" s="284"/>
    </row>
    <row r="106" spans="2:10">
      <c r="C106" s="283" t="s">
        <v>145</v>
      </c>
      <c r="D106" s="284">
        <v>5430000.0545454547</v>
      </c>
      <c r="E106" s="284">
        <v>50000.054545454543</v>
      </c>
      <c r="F106" s="284">
        <v>1270000</v>
      </c>
      <c r="G106" s="284"/>
      <c r="H106" s="284">
        <v>1830000</v>
      </c>
      <c r="I106" s="284">
        <v>2280000</v>
      </c>
      <c r="J106" s="284"/>
    </row>
    <row r="107" spans="2:10">
      <c r="C107" s="283" t="s">
        <v>152</v>
      </c>
      <c r="D107" s="284">
        <v>6740000</v>
      </c>
      <c r="E107" s="284">
        <v>1200000</v>
      </c>
      <c r="F107" s="284">
        <v>2580000</v>
      </c>
      <c r="G107" s="284"/>
      <c r="H107" s="284">
        <v>2960000</v>
      </c>
      <c r="I107" s="284"/>
      <c r="J107" s="284"/>
    </row>
    <row r="108" spans="2:10">
      <c r="C108" s="283" t="s">
        <v>153</v>
      </c>
      <c r="D108" s="284">
        <v>2130000</v>
      </c>
      <c r="E108" s="284"/>
      <c r="F108" s="284"/>
      <c r="G108" s="284">
        <v>830000</v>
      </c>
      <c r="H108" s="284">
        <v>1300000</v>
      </c>
      <c r="I108" s="284"/>
      <c r="J108" s="284"/>
    </row>
    <row r="109" spans="2:10">
      <c r="C109" s="283" t="s">
        <v>154</v>
      </c>
      <c r="D109" s="284">
        <v>5860000</v>
      </c>
      <c r="E109" s="284">
        <v>2020000</v>
      </c>
      <c r="F109" s="284"/>
      <c r="G109" s="284">
        <v>2910000</v>
      </c>
      <c r="H109" s="284">
        <v>930000</v>
      </c>
      <c r="I109" s="284"/>
      <c r="J109" s="284"/>
    </row>
    <row r="110" spans="2:10">
      <c r="C110" s="283" t="s">
        <v>155</v>
      </c>
      <c r="D110" s="284">
        <v>1420000</v>
      </c>
      <c r="E110" s="284">
        <v>670000</v>
      </c>
      <c r="F110" s="284"/>
      <c r="G110" s="284"/>
      <c r="H110" s="284">
        <v>750000</v>
      </c>
      <c r="I110" s="284"/>
      <c r="J110" s="284"/>
    </row>
    <row r="111" spans="2:10">
      <c r="C111" s="282" t="s">
        <v>248</v>
      </c>
      <c r="D111" s="285">
        <v>37040000.054545455</v>
      </c>
      <c r="E111" s="285">
        <v>7890000.0545454547</v>
      </c>
      <c r="F111" s="285">
        <v>4770000</v>
      </c>
      <c r="G111" s="285">
        <v>7810000</v>
      </c>
      <c r="H111" s="285">
        <v>8110000</v>
      </c>
      <c r="I111" s="285">
        <v>4710000</v>
      </c>
      <c r="J111" s="285">
        <v>3750000</v>
      </c>
    </row>
    <row r="115" spans="3:4">
      <c r="C115" s="282" t="s">
        <v>584</v>
      </c>
      <c r="D115" s="282" t="s">
        <v>649</v>
      </c>
    </row>
    <row r="116" spans="3:4">
      <c r="C116" s="283" t="s">
        <v>650</v>
      </c>
      <c r="D116" s="284">
        <v>6915000</v>
      </c>
    </row>
    <row r="117" spans="3:4">
      <c r="C117" s="283" t="s">
        <v>651</v>
      </c>
      <c r="D117" s="284">
        <v>5466500</v>
      </c>
    </row>
    <row r="118" spans="3:4">
      <c r="C118" s="283" t="s">
        <v>652</v>
      </c>
      <c r="D118" s="284">
        <v>1520000</v>
      </c>
    </row>
    <row r="119" spans="3:4">
      <c r="C119" s="283" t="s">
        <v>653</v>
      </c>
      <c r="D119" s="284">
        <v>2895000</v>
      </c>
    </row>
    <row r="120" spans="3:4">
      <c r="C120" s="283" t="s">
        <v>654</v>
      </c>
      <c r="D120" s="284">
        <v>8930000</v>
      </c>
    </row>
    <row r="121" spans="3:4">
      <c r="C121" s="283" t="s">
        <v>655</v>
      </c>
      <c r="D121" s="284">
        <v>6370000</v>
      </c>
    </row>
    <row r="122" spans="3:4">
      <c r="C122" s="283" t="s">
        <v>656</v>
      </c>
      <c r="D122" s="284">
        <v>7010000</v>
      </c>
    </row>
  </sheetData>
  <phoneticPr fontId="17" type="noConversion"/>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 ma:contentTypeID="0x010100A9B153765AE3554A97A6B9D2F8AC3ADA" ma:contentTypeVersion="13" ma:contentTypeDescription="Buat sebuah dokumen baru." ma:contentTypeScope="" ma:versionID="ecb8de21c0b16a83a0b7d7aa3d9003b0">
  <xsd:schema xmlns:xsd="http://www.w3.org/2001/XMLSchema" xmlns:xs="http://www.w3.org/2001/XMLSchema" xmlns:p="http://schemas.microsoft.com/office/2006/metadata/properties" xmlns:ns3="aea25c7d-311b-4cd3-b496-d1e70638f95e" xmlns:ns4="190f5044-4c52-43a8-a96c-13c1d3e45f14" targetNamespace="http://schemas.microsoft.com/office/2006/metadata/properties" ma:root="true" ma:fieldsID="7b544357a8808f566f6dc0fe0faf421e" ns3:_="" ns4:_="">
    <xsd:import namespace="aea25c7d-311b-4cd3-b496-d1e70638f95e"/>
    <xsd:import namespace="190f5044-4c52-43a8-a96c-13c1d3e45f1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a25c7d-311b-4cd3-b496-d1e70638f9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0f5044-4c52-43a8-a96c-13c1d3e45f14" elementFormDefault="qualified">
    <xsd:import namespace="http://schemas.microsoft.com/office/2006/documentManagement/types"/>
    <xsd:import namespace="http://schemas.microsoft.com/office/infopath/2007/PartnerControls"/>
    <xsd:element name="SharedWithUsers" ma:index="10"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ibagikan Dengan Detail" ma:internalName="SharedWithDetails" ma:readOnly="true">
      <xsd:simpleType>
        <xsd:restriction base="dms:Note">
          <xsd:maxLength value="255"/>
        </xsd:restriction>
      </xsd:simpleType>
    </xsd:element>
    <xsd:element name="SharingHintHash" ma:index="12" nillable="true" ma:displayName="Berbagi Hash Petunjuk"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aea25c7d-311b-4cd3-b496-d1e70638f95e" xsi:nil="true"/>
  </documentManagement>
</p:properties>
</file>

<file path=customXml/itemProps1.xml><?xml version="1.0" encoding="utf-8"?>
<ds:datastoreItem xmlns:ds="http://schemas.openxmlformats.org/officeDocument/2006/customXml" ds:itemID="{32881932-9925-4EB5-9FE9-EAD75D2D6391}">
  <ds:schemaRefs>
    <ds:schemaRef ds:uri="http://schemas.microsoft.com/sharepoint/v3/contenttype/forms"/>
  </ds:schemaRefs>
</ds:datastoreItem>
</file>

<file path=customXml/itemProps2.xml><?xml version="1.0" encoding="utf-8"?>
<ds:datastoreItem xmlns:ds="http://schemas.openxmlformats.org/officeDocument/2006/customXml" ds:itemID="{2F2B2CE7-3EED-4BF8-9E01-B108518FA2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a25c7d-311b-4cd3-b496-d1e70638f95e"/>
    <ds:schemaRef ds:uri="190f5044-4c52-43a8-a96c-13c1d3e45f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C8C107-7250-4370-9B89-0A246DB1F97B}">
  <ds:schemaRef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purl.org/dc/terms/"/>
    <ds:schemaRef ds:uri="aea25c7d-311b-4cd3-b496-d1e70638f95e"/>
    <ds:schemaRef ds:uri="http://schemas.microsoft.com/office/infopath/2007/PartnerControls"/>
    <ds:schemaRef ds:uri="190f5044-4c52-43a8-a96c-13c1d3e45f1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12</vt:i4>
      </vt:variant>
    </vt:vector>
  </HeadingPairs>
  <TitlesOfParts>
    <vt:vector size="32" baseType="lpstr">
      <vt:lpstr>Awal</vt:lpstr>
      <vt:lpstr>GAMUM</vt:lpstr>
      <vt:lpstr>Kode Akun</vt:lpstr>
      <vt:lpstr>Penyusutan</vt:lpstr>
      <vt:lpstr>Aging Schedule</vt:lpstr>
      <vt:lpstr>BTK</vt:lpstr>
      <vt:lpstr>Utang</vt:lpstr>
      <vt:lpstr>Measurements</vt:lpstr>
      <vt:lpstr>Transaksi</vt:lpstr>
      <vt:lpstr>Transaksi (2)</vt:lpstr>
      <vt:lpstr>General Legder</vt:lpstr>
      <vt:lpstr>Neraca Saldo</vt:lpstr>
      <vt:lpstr>Neraca Saldo 2026</vt:lpstr>
      <vt:lpstr>LR</vt:lpstr>
      <vt:lpstr>LPM</vt:lpstr>
      <vt:lpstr>LPK</vt:lpstr>
      <vt:lpstr>Jurnal Umum</vt:lpstr>
      <vt:lpstr>Arus Kas</vt:lpstr>
      <vt:lpstr>Report II</vt:lpstr>
      <vt:lpstr>Persiapan UAS</vt:lpstr>
      <vt:lpstr>'Aging Schedule'!Print_Area</vt:lpstr>
      <vt:lpstr>'Arus Kas'!Print_Area</vt:lpstr>
      <vt:lpstr>BTK!Print_Area</vt:lpstr>
      <vt:lpstr>LPK!Print_Area</vt:lpstr>
      <vt:lpstr>LPM!Print_Area</vt:lpstr>
      <vt:lpstr>LR!Print_Area</vt:lpstr>
      <vt:lpstr>Measurements!Print_Area</vt:lpstr>
      <vt:lpstr>'Neraca Saldo'!Print_Area</vt:lpstr>
      <vt:lpstr>'Neraca Saldo 2026'!Print_Area</vt:lpstr>
      <vt:lpstr>Penyusutan!Print_Area</vt:lpstr>
      <vt:lpstr>'Transaksi (2)'!Print_Area</vt:lpstr>
      <vt:lpstr>Utang!Print_Area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ADITIA PRAMANA</dc:creator>
  <cp:lastModifiedBy>Aditia Pramana</cp:lastModifiedBy>
  <cp:lastPrinted>2025-06-18T23:40:10Z</cp:lastPrinted>
  <dcterms:created xsi:type="dcterms:W3CDTF">2025-01-15T15:04:56Z</dcterms:created>
  <dcterms:modified xsi:type="dcterms:W3CDTF">2025-07-16T08:23:38Z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0x010100A9B153765AE3554A97A6B9D2F8AC3ADA</vt:lpwstr>
  </property>
</Properties>
</file>