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4e6319cc83a4438/Desktop/Aditi/Github/"/>
    </mc:Choice>
  </mc:AlternateContent>
  <xr:revisionPtr revIDLastSave="1" documentId="8_{BC5B3406-6975-475A-8B37-93D5078A27FA}" xr6:coauthVersionLast="47" xr6:coauthVersionMax="47" xr10:uidLastSave="{54EF4AA4-CCDC-492A-AA51-6C67CA81A4CF}"/>
  <bookViews>
    <workbookView xWindow="-120" yWindow="-120" windowWidth="20730" windowHeight="11040" activeTab="2" xr2:uid="{00000000-000D-0000-FFFF-FFFF00000000}"/>
  </bookViews>
  <sheets>
    <sheet name="Instructions" sheetId="3" r:id="rId1"/>
    <sheet name="Assumptions" sheetId="2" r:id="rId2"/>
    <sheet name="Financial Statements Model" sheetId="1" r:id="rId3"/>
  </sheets>
  <calcPr calcId="191029" calcMode="manual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2" l="1"/>
  <c r="E25" i="2"/>
  <c r="D25" i="2"/>
  <c r="E19" i="2"/>
  <c r="D19" i="2"/>
  <c r="D18" i="2"/>
  <c r="D20" i="2"/>
  <c r="E28" i="2"/>
  <c r="D28" i="2"/>
  <c r="C28" i="2"/>
  <c r="E27" i="2"/>
  <c r="D27" i="2"/>
  <c r="C27" i="2"/>
  <c r="E26" i="2"/>
  <c r="D26" i="2"/>
  <c r="C26" i="2"/>
  <c r="E23" i="2"/>
  <c r="D23" i="2"/>
  <c r="C23" i="2"/>
  <c r="E21" i="2"/>
  <c r="D21" i="2"/>
  <c r="C21" i="2"/>
  <c r="E20" i="2"/>
  <c r="C20" i="2"/>
  <c r="E12" i="2"/>
  <c r="D12" i="2"/>
  <c r="C12" i="2"/>
  <c r="E15" i="2"/>
  <c r="D15" i="2"/>
  <c r="C15" i="2"/>
  <c r="E14" i="2"/>
  <c r="D14" i="2"/>
  <c r="C14" i="2"/>
  <c r="E13" i="2"/>
  <c r="D13" i="2"/>
  <c r="C13" i="2"/>
  <c r="E11" i="2"/>
  <c r="D11" i="2"/>
  <c r="C11" i="2"/>
  <c r="E10" i="2"/>
  <c r="D10" i="2"/>
  <c r="C10" i="2"/>
  <c r="E9" i="2"/>
  <c r="D9" i="2"/>
  <c r="C9" i="2"/>
  <c r="F109" i="1"/>
  <c r="G109" i="1"/>
  <c r="H109" i="1"/>
  <c r="I109" i="1"/>
  <c r="E109" i="1"/>
  <c r="F51" i="1"/>
  <c r="G51" i="1"/>
  <c r="H51" i="1"/>
  <c r="I51" i="1"/>
  <c r="E51" i="1"/>
  <c r="E41" i="1"/>
  <c r="F41" i="1"/>
  <c r="G41" i="1" s="1"/>
  <c r="H41" i="1" s="1"/>
  <c r="I41" i="1" s="1"/>
  <c r="F82" i="1"/>
  <c r="G82" i="1"/>
  <c r="H82" i="1"/>
  <c r="I82" i="1"/>
  <c r="E82" i="1"/>
  <c r="I111" i="1"/>
  <c r="H111" i="1"/>
  <c r="G111" i="1"/>
  <c r="F111" i="1"/>
  <c r="E111" i="1"/>
  <c r="E112" i="1" s="1"/>
  <c r="E110" i="1"/>
  <c r="E54" i="1" s="1"/>
  <c r="E87" i="1" s="1"/>
  <c r="E108" i="1"/>
  <c r="I104" i="1"/>
  <c r="H104" i="1"/>
  <c r="G104" i="1"/>
  <c r="F104" i="1"/>
  <c r="E104" i="1"/>
  <c r="E101" i="1"/>
  <c r="E93" i="1"/>
  <c r="I83" i="1"/>
  <c r="H83" i="1"/>
  <c r="G83" i="1"/>
  <c r="F83" i="1"/>
  <c r="E83" i="1"/>
  <c r="E84" i="1"/>
  <c r="E58" i="1"/>
  <c r="F58" i="1" s="1"/>
  <c r="G58" i="1" s="1"/>
  <c r="E37" i="1"/>
  <c r="E15" i="1"/>
  <c r="E8" i="1"/>
  <c r="E9" i="1"/>
  <c r="G33" i="2"/>
  <c r="H33" i="2" s="1"/>
  <c r="I33" i="2" s="1"/>
  <c r="J33" i="2" s="1"/>
  <c r="G32" i="2"/>
  <c r="H32" i="2" s="1"/>
  <c r="I32" i="2" s="1"/>
  <c r="J32" i="2" s="1"/>
  <c r="D20" i="1"/>
  <c r="C20" i="1"/>
  <c r="B20" i="1"/>
  <c r="F108" i="1" l="1"/>
  <c r="F110" i="1" s="1"/>
  <c r="F54" i="1" s="1"/>
  <c r="G108" i="1" s="1"/>
  <c r="G110" i="1" s="1"/>
  <c r="G54" i="1" s="1"/>
  <c r="E74" i="1"/>
  <c r="F8" i="1"/>
  <c r="E13" i="1"/>
  <c r="E40" i="1"/>
  <c r="E14" i="1" s="1"/>
  <c r="E69" i="1" s="1"/>
  <c r="E11" i="1"/>
  <c r="E12" i="1" s="1"/>
  <c r="E35" i="1"/>
  <c r="E44" i="1"/>
  <c r="H58" i="1"/>
  <c r="A4" i="1"/>
  <c r="E16" i="1" l="1"/>
  <c r="E42" i="1"/>
  <c r="F87" i="1"/>
  <c r="G87" i="1"/>
  <c r="H108" i="1"/>
  <c r="G112" i="1"/>
  <c r="F112" i="1"/>
  <c r="E72" i="1"/>
  <c r="E10" i="1"/>
  <c r="F9" i="1"/>
  <c r="F44" i="1"/>
  <c r="F13" i="1"/>
  <c r="F11" i="1"/>
  <c r="F12" i="1" s="1"/>
  <c r="F15" i="1"/>
  <c r="F37" i="1"/>
  <c r="F35" i="1"/>
  <c r="F10" i="1"/>
  <c r="G8" i="1"/>
  <c r="I58" i="1"/>
  <c r="E26" i="1"/>
  <c r="E27" i="1" s="1"/>
  <c r="E17" i="1"/>
  <c r="G9" i="1"/>
  <c r="J7" i="2"/>
  <c r="D96" i="1"/>
  <c r="C96" i="1"/>
  <c r="B96" i="1"/>
  <c r="H110" i="1" l="1"/>
  <c r="H54" i="1" s="1"/>
  <c r="H112" i="1"/>
  <c r="G13" i="1"/>
  <c r="G15" i="1"/>
  <c r="G37" i="1"/>
  <c r="G84" i="1"/>
  <c r="G11" i="1"/>
  <c r="G12" i="1" s="1"/>
  <c r="G35" i="1"/>
  <c r="G10" i="1"/>
  <c r="G44" i="1"/>
  <c r="F48" i="1"/>
  <c r="F55" i="1"/>
  <c r="G78" i="1"/>
  <c r="F36" i="1"/>
  <c r="F49" i="1"/>
  <c r="G72" i="1"/>
  <c r="F74" i="1"/>
  <c r="F72" i="1"/>
  <c r="F84" i="1"/>
  <c r="F40" i="1"/>
  <c r="E55" i="1"/>
  <c r="E79" i="1" s="1"/>
  <c r="E36" i="1"/>
  <c r="E49" i="1"/>
  <c r="E48" i="1"/>
  <c r="E76" i="1" s="1"/>
  <c r="F78" i="1"/>
  <c r="H8" i="1"/>
  <c r="F75" i="1"/>
  <c r="H9" i="1"/>
  <c r="I8" i="1"/>
  <c r="D51" i="1"/>
  <c r="E78" i="1" s="1"/>
  <c r="C51" i="1"/>
  <c r="D44" i="1"/>
  <c r="E75" i="1" s="1"/>
  <c r="C44" i="1"/>
  <c r="B51" i="1"/>
  <c r="B44" i="1"/>
  <c r="H87" i="1" l="1"/>
  <c r="I108" i="1"/>
  <c r="E77" i="1"/>
  <c r="I9" i="1"/>
  <c r="I84" i="1"/>
  <c r="I11" i="1"/>
  <c r="I12" i="1" s="1"/>
  <c r="I37" i="1"/>
  <c r="I13" i="1"/>
  <c r="I15" i="1"/>
  <c r="I35" i="1"/>
  <c r="I44" i="1"/>
  <c r="F73" i="1"/>
  <c r="E73" i="1"/>
  <c r="G48" i="1"/>
  <c r="G36" i="1"/>
  <c r="G55" i="1"/>
  <c r="G79" i="1" s="1"/>
  <c r="H78" i="1"/>
  <c r="G49" i="1"/>
  <c r="G77" i="1" s="1"/>
  <c r="F77" i="1"/>
  <c r="H72" i="1"/>
  <c r="G40" i="1"/>
  <c r="F14" i="1"/>
  <c r="G73" i="1"/>
  <c r="H11" i="1"/>
  <c r="H12" i="1" s="1"/>
  <c r="H37" i="1"/>
  <c r="H10" i="1"/>
  <c r="H44" i="1"/>
  <c r="I75" i="1" s="1"/>
  <c r="H84" i="1"/>
  <c r="H15" i="1"/>
  <c r="H35" i="1"/>
  <c r="H13" i="1"/>
  <c r="F79" i="1"/>
  <c r="H74" i="1"/>
  <c r="F76" i="1"/>
  <c r="G74" i="1"/>
  <c r="G75" i="1"/>
  <c r="A79" i="1"/>
  <c r="A78" i="1"/>
  <c r="A77" i="1"/>
  <c r="A76" i="1"/>
  <c r="I110" i="1" l="1"/>
  <c r="I54" i="1" s="1"/>
  <c r="I87" i="1" s="1"/>
  <c r="I112" i="1"/>
  <c r="G14" i="1"/>
  <c r="H40" i="1"/>
  <c r="I74" i="1"/>
  <c r="H36" i="1"/>
  <c r="H55" i="1"/>
  <c r="H79" i="1" s="1"/>
  <c r="I78" i="1"/>
  <c r="H49" i="1"/>
  <c r="H77" i="1" s="1"/>
  <c r="H48" i="1"/>
  <c r="I72" i="1"/>
  <c r="I10" i="1"/>
  <c r="G76" i="1"/>
  <c r="F16" i="1"/>
  <c r="F69" i="1"/>
  <c r="H75" i="1"/>
  <c r="A75" i="1"/>
  <c r="A74" i="1"/>
  <c r="A73" i="1"/>
  <c r="A72" i="1"/>
  <c r="D66" i="1"/>
  <c r="C66" i="1"/>
  <c r="B66" i="1"/>
  <c r="I7" i="2"/>
  <c r="H7" i="2"/>
  <c r="G7" i="2"/>
  <c r="F7" i="2"/>
  <c r="E7" i="2"/>
  <c r="D7" i="2"/>
  <c r="C7" i="2"/>
  <c r="D32" i="1"/>
  <c r="C32" i="1"/>
  <c r="B32" i="1"/>
  <c r="D26" i="1"/>
  <c r="D27" i="1" s="1"/>
  <c r="C26" i="1"/>
  <c r="C27" i="1" s="1"/>
  <c r="B26" i="1"/>
  <c r="B27" i="1" s="1"/>
  <c r="D60" i="1"/>
  <c r="C60" i="1"/>
  <c r="B60" i="1"/>
  <c r="D52" i="1"/>
  <c r="D56" i="1" s="1"/>
  <c r="C52" i="1"/>
  <c r="C56" i="1" s="1"/>
  <c r="B52" i="1"/>
  <c r="B56" i="1" s="1"/>
  <c r="D42" i="1"/>
  <c r="C42" i="1"/>
  <c r="B42" i="1"/>
  <c r="D38" i="1"/>
  <c r="C38" i="1"/>
  <c r="B38" i="1"/>
  <c r="F17" i="1" l="1"/>
  <c r="F26" i="1"/>
  <c r="F27" i="1" s="1"/>
  <c r="F42" i="1"/>
  <c r="I55" i="1"/>
  <c r="I79" i="1" s="1"/>
  <c r="I36" i="1"/>
  <c r="I49" i="1"/>
  <c r="I77" i="1" s="1"/>
  <c r="I48" i="1"/>
  <c r="H73" i="1"/>
  <c r="H14" i="1"/>
  <c r="I40" i="1"/>
  <c r="I14" i="1" s="1"/>
  <c r="I16" i="1" s="1"/>
  <c r="H76" i="1"/>
  <c r="G16" i="1"/>
  <c r="G69" i="1"/>
  <c r="D45" i="1"/>
  <c r="B62" i="1"/>
  <c r="C45" i="1"/>
  <c r="B45" i="1"/>
  <c r="D62" i="1"/>
  <c r="C62" i="1"/>
  <c r="I17" i="1" l="1"/>
  <c r="I26" i="1"/>
  <c r="I27" i="1" s="1"/>
  <c r="I73" i="1"/>
  <c r="I69" i="1"/>
  <c r="G17" i="1"/>
  <c r="G26" i="1"/>
  <c r="G27" i="1" s="1"/>
  <c r="I76" i="1"/>
  <c r="H16" i="1"/>
  <c r="H69" i="1"/>
  <c r="G42" i="1"/>
  <c r="D63" i="1"/>
  <c r="B63" i="1"/>
  <c r="C63" i="1"/>
  <c r="H42" i="1" l="1"/>
  <c r="I42" i="1"/>
  <c r="H26" i="1"/>
  <c r="H27" i="1" s="1"/>
  <c r="H17" i="1"/>
  <c r="E18" i="1" l="1"/>
  <c r="F18" i="1"/>
  <c r="G18" i="1"/>
  <c r="H18" i="1"/>
  <c r="I18" i="1"/>
  <c r="E19" i="1"/>
  <c r="F19" i="1"/>
  <c r="G19" i="1"/>
  <c r="H19" i="1"/>
  <c r="I19" i="1"/>
  <c r="E20" i="1"/>
  <c r="F20" i="1"/>
  <c r="G20" i="1"/>
  <c r="H20" i="1"/>
  <c r="I20" i="1"/>
  <c r="E21" i="1"/>
  <c r="F21" i="1"/>
  <c r="G21" i="1"/>
  <c r="H21" i="1"/>
  <c r="I21" i="1"/>
  <c r="E22" i="1"/>
  <c r="F22" i="1"/>
  <c r="G22" i="1"/>
  <c r="H22" i="1"/>
  <c r="I22" i="1"/>
  <c r="E23" i="1"/>
  <c r="F23" i="1"/>
  <c r="G23" i="1"/>
  <c r="H23" i="1"/>
  <c r="I23" i="1"/>
  <c r="E24" i="1"/>
  <c r="F24" i="1"/>
  <c r="G24" i="1"/>
  <c r="H24" i="1"/>
  <c r="I24" i="1"/>
  <c r="E25" i="1"/>
  <c r="F25" i="1"/>
  <c r="G25" i="1"/>
  <c r="H25" i="1"/>
  <c r="I25" i="1"/>
  <c r="E29" i="1"/>
  <c r="F29" i="1"/>
  <c r="G29" i="1"/>
  <c r="H29" i="1"/>
  <c r="I29" i="1"/>
  <c r="E34" i="1"/>
  <c r="F34" i="1"/>
  <c r="G34" i="1"/>
  <c r="H34" i="1"/>
  <c r="I34" i="1"/>
  <c r="E38" i="1"/>
  <c r="F38" i="1"/>
  <c r="G38" i="1"/>
  <c r="H38" i="1"/>
  <c r="I38" i="1"/>
  <c r="E45" i="1"/>
  <c r="F45" i="1"/>
  <c r="G45" i="1"/>
  <c r="H45" i="1"/>
  <c r="I45" i="1"/>
  <c r="E50" i="1"/>
  <c r="F50" i="1"/>
  <c r="G50" i="1"/>
  <c r="H50" i="1"/>
  <c r="I50" i="1"/>
  <c r="E52" i="1"/>
  <c r="F52" i="1"/>
  <c r="G52" i="1"/>
  <c r="H52" i="1"/>
  <c r="I52" i="1"/>
  <c r="E56" i="1"/>
  <c r="F56" i="1"/>
  <c r="G56" i="1"/>
  <c r="H56" i="1"/>
  <c r="I56" i="1"/>
  <c r="E59" i="1"/>
  <c r="F59" i="1"/>
  <c r="G59" i="1"/>
  <c r="H59" i="1"/>
  <c r="I59" i="1"/>
  <c r="E60" i="1"/>
  <c r="F60" i="1"/>
  <c r="G60" i="1"/>
  <c r="H60" i="1"/>
  <c r="I60" i="1"/>
  <c r="E62" i="1"/>
  <c r="F62" i="1"/>
  <c r="G62" i="1"/>
  <c r="H62" i="1"/>
  <c r="I62" i="1"/>
  <c r="E63" i="1"/>
  <c r="F63" i="1"/>
  <c r="G63" i="1"/>
  <c r="H63" i="1"/>
  <c r="I63" i="1"/>
  <c r="E68" i="1"/>
  <c r="F68" i="1"/>
  <c r="G68" i="1"/>
  <c r="H68" i="1"/>
  <c r="I68" i="1"/>
  <c r="E80" i="1"/>
  <c r="F80" i="1"/>
  <c r="G80" i="1"/>
  <c r="H80" i="1"/>
  <c r="I80" i="1"/>
  <c r="E86" i="1"/>
  <c r="F86" i="1"/>
  <c r="G86" i="1"/>
  <c r="H86" i="1"/>
  <c r="I86" i="1"/>
  <c r="E88" i="1"/>
  <c r="F88" i="1"/>
  <c r="G88" i="1"/>
  <c r="H88" i="1"/>
  <c r="I88" i="1"/>
  <c r="E89" i="1"/>
  <c r="F89" i="1"/>
  <c r="G89" i="1"/>
  <c r="H89" i="1"/>
  <c r="I89" i="1"/>
  <c r="E91" i="1"/>
  <c r="F91" i="1"/>
  <c r="G91" i="1"/>
  <c r="H91" i="1"/>
  <c r="I91" i="1"/>
  <c r="F93" i="1"/>
  <c r="G93" i="1"/>
  <c r="H93" i="1"/>
  <c r="I93" i="1"/>
  <c r="E94" i="1"/>
  <c r="F94" i="1"/>
  <c r="G94" i="1"/>
  <c r="H94" i="1"/>
  <c r="I94" i="1"/>
  <c r="E98" i="1"/>
  <c r="F98" i="1"/>
  <c r="G98" i="1"/>
  <c r="H98" i="1"/>
  <c r="I98" i="1"/>
  <c r="F101" i="1"/>
  <c r="G101" i="1"/>
  <c r="H101" i="1"/>
  <c r="I101" i="1"/>
  <c r="E102" i="1"/>
  <c r="F102" i="1"/>
  <c r="G102" i="1"/>
  <c r="H102" i="1"/>
  <c r="I102" i="1"/>
  <c r="E103" i="1"/>
  <c r="F103" i="1"/>
  <c r="G103" i="1"/>
  <c r="H103" i="1"/>
  <c r="I103" i="1"/>
  <c r="E105" i="1"/>
  <c r="F105" i="1"/>
  <c r="G105" i="1"/>
  <c r="H105" i="1"/>
  <c r="I105" i="1"/>
  <c r="E114" i="1"/>
  <c r="F114" i="1"/>
  <c r="G114" i="1"/>
  <c r="H114" i="1"/>
  <c r="I114" i="1"/>
  <c r="E115" i="1"/>
  <c r="F115" i="1"/>
  <c r="G115" i="1"/>
  <c r="H115" i="1"/>
  <c r="I115" i="1"/>
</calcChain>
</file>

<file path=xl/sharedStrings.xml><?xml version="1.0" encoding="utf-8"?>
<sst xmlns="http://schemas.openxmlformats.org/spreadsheetml/2006/main" count="203" uniqueCount="167">
  <si>
    <t>Cost Of Goods Sold</t>
  </si>
  <si>
    <t xml:space="preserve">  Gross Profit</t>
  </si>
  <si>
    <t>Selling General &amp; Admin Expense</t>
  </si>
  <si>
    <t>Depreciation Expense</t>
  </si>
  <si>
    <t>Other Operating Expense/(Income)</t>
  </si>
  <si>
    <t xml:space="preserve">  Operating Income</t>
  </si>
  <si>
    <t>Interest Expense</t>
  </si>
  <si>
    <t xml:space="preserve">  Net Interest Expense</t>
  </si>
  <si>
    <t xml:space="preserve">   Pre Tax Income</t>
  </si>
  <si>
    <t>Income Tax Expense</t>
  </si>
  <si>
    <t xml:space="preserve">  Net Income</t>
  </si>
  <si>
    <t xml:space="preserve">  EBITDA</t>
  </si>
  <si>
    <t>ASSETS</t>
  </si>
  <si>
    <t>Cash</t>
  </si>
  <si>
    <t>Accounts Receivable</t>
  </si>
  <si>
    <t>Inventory</t>
  </si>
  <si>
    <t>Other Current Assets</t>
  </si>
  <si>
    <t xml:space="preserve">  Total Current Assets</t>
  </si>
  <si>
    <t>Gross Property, Plant &amp; Equipment</t>
  </si>
  <si>
    <t>Accumulated Depreciation</t>
  </si>
  <si>
    <t xml:space="preserve">  Net Property, Plant &amp; Equipment</t>
  </si>
  <si>
    <t>Other Long-Term Operating Assets</t>
  </si>
  <si>
    <t>Total Assets</t>
  </si>
  <si>
    <t>LIABILITIES</t>
  </si>
  <si>
    <t>Accounts Payable</t>
  </si>
  <si>
    <t>Accrued Exp.</t>
  </si>
  <si>
    <t>Other Current Liabilities</t>
  </si>
  <si>
    <t xml:space="preserve">  Total Current Liabilities</t>
  </si>
  <si>
    <t>Long-Term Debt</t>
  </si>
  <si>
    <t>Other Long Term Operating Liabilities</t>
  </si>
  <si>
    <t>Total Liabilities</t>
  </si>
  <si>
    <t>Common Stock and Additional Paid in Capital</t>
  </si>
  <si>
    <t>Retained Earnings</t>
  </si>
  <si>
    <t xml:space="preserve">  Total Equity</t>
  </si>
  <si>
    <t>Total Liabilities And Equity</t>
  </si>
  <si>
    <t xml:space="preserve">     CHECK</t>
  </si>
  <si>
    <t>Boston Beer Company - (SAM)</t>
  </si>
  <si>
    <t>In $millions except per share items.</t>
  </si>
  <si>
    <t>Income Statement For The Year Ended 12/31,</t>
  </si>
  <si>
    <t xml:space="preserve">Balance Sheet As Of 12/31, </t>
  </si>
  <si>
    <t xml:space="preserve">    Y/Y Growth</t>
  </si>
  <si>
    <t xml:space="preserve">   Gross Profit Margin %</t>
  </si>
  <si>
    <t xml:space="preserve">   Operating Income Margin %</t>
  </si>
  <si>
    <t>Revenue</t>
  </si>
  <si>
    <t xml:space="preserve">    Effective Tax Rate</t>
  </si>
  <si>
    <t xml:space="preserve">    Net Income Margin %</t>
  </si>
  <si>
    <t xml:space="preserve">    EBITDA Margin %</t>
  </si>
  <si>
    <t>Income Statement Drivers:</t>
  </si>
  <si>
    <t>Revenue Growth</t>
  </si>
  <si>
    <t>Gross Profit Margin</t>
  </si>
  <si>
    <t>SG&amp;A Expense % of Revenue</t>
  </si>
  <si>
    <t>D&amp;A % of Gross PP&amp;E</t>
  </si>
  <si>
    <t>Other Opex % of Revenue</t>
  </si>
  <si>
    <t>Effective Tax Rate</t>
  </si>
  <si>
    <t>Dividend Payout Rate</t>
  </si>
  <si>
    <t>Balance Sheet Drivers:</t>
  </si>
  <si>
    <t>Accounts Receivable Days</t>
  </si>
  <si>
    <t xml:space="preserve">Inventory Days </t>
  </si>
  <si>
    <t>Other Current Assets % of Revenue</t>
  </si>
  <si>
    <t>Capex % of Revenue</t>
  </si>
  <si>
    <t>Asset Dispositions</t>
  </si>
  <si>
    <t>Other Long Term Assets % of Revenue</t>
  </si>
  <si>
    <t>Accounts Payable Days</t>
  </si>
  <si>
    <t>Other Current Liabilities % of COGS</t>
  </si>
  <si>
    <t>Other Long Term Liabilities % of COGS</t>
  </si>
  <si>
    <t>Actual</t>
  </si>
  <si>
    <t>Projected</t>
  </si>
  <si>
    <t>Total Interest Expense</t>
  </si>
  <si>
    <t>Total Dividends</t>
  </si>
  <si>
    <t>Cash Flow Statement For The Year Ended 12/31,</t>
  </si>
  <si>
    <t>Net Income</t>
  </si>
  <si>
    <t>Depreciation and Amortization</t>
  </si>
  <si>
    <t>Change in Operating Capital:</t>
  </si>
  <si>
    <t>Capital Spending</t>
  </si>
  <si>
    <t>Net Change in Short Term Debt</t>
  </si>
  <si>
    <t>Net Change in Long Term Debt</t>
  </si>
  <si>
    <t>Dividends</t>
  </si>
  <si>
    <t>Debt and Interest Schedule</t>
  </si>
  <si>
    <t>Beginning Cash</t>
  </si>
  <si>
    <t>Ending Cash</t>
  </si>
  <si>
    <t>Cash Flow From Operations</t>
  </si>
  <si>
    <t>Cash Flow From Investing</t>
  </si>
  <si>
    <t>Cash Flow From Financing</t>
  </si>
  <si>
    <t xml:space="preserve">Net Change in Cash </t>
  </si>
  <si>
    <t>Cash Available Before Revolver (financing surplus / (deficit)</t>
  </si>
  <si>
    <t xml:space="preserve">Short Term Debt - Revolver </t>
  </si>
  <si>
    <t>Beginning Revolver Balance</t>
  </si>
  <si>
    <t>(Paydown) / Drawdown</t>
  </si>
  <si>
    <t>Ending Revolver Balance</t>
  </si>
  <si>
    <t>Interest Rate</t>
  </si>
  <si>
    <t>Term Loan Beginning Balance</t>
  </si>
  <si>
    <t>Term Loan Ending Balance</t>
  </si>
  <si>
    <t>Total Interest Income</t>
  </si>
  <si>
    <t>(Paydown)</t>
  </si>
  <si>
    <t>Interest Rate on Short Term Debt</t>
  </si>
  <si>
    <t>Interest Rate on Long Term Debt</t>
  </si>
  <si>
    <t>Interest Rate Earned on Cash</t>
  </si>
  <si>
    <t>Historical Ratios and Performance Metrics</t>
  </si>
  <si>
    <t>I.</t>
  </si>
  <si>
    <t>a. Income Statement Items:</t>
  </si>
  <si>
    <t>b. Balance Sheet Items:</t>
  </si>
  <si>
    <t>II.</t>
  </si>
  <si>
    <t>a. Income Statement Assumptions:</t>
  </si>
  <si>
    <t>You should create a projected income statement, balance sheet and cash flow statement as well as a debt and interest schedule for each year in the forecast period.</t>
  </si>
  <si>
    <t>Assume a constant gross profit margin of 52.0% in each forecast year</t>
  </si>
  <si>
    <t>Assume there are no other operating expenses</t>
  </si>
  <si>
    <t>Assume a constant 35% effective tax rate</t>
  </si>
  <si>
    <t>Debt and Interest Schedule Drivers:</t>
  </si>
  <si>
    <t xml:space="preserve">Capex % of Revenue </t>
  </si>
  <si>
    <t>Assume that SG&amp;A expense is equal to 30.0% of revenue in each forecast year</t>
  </si>
  <si>
    <t>Assume a constant 50 days in each forecast year</t>
  </si>
  <si>
    <t>Assume a constant 25 days in each forecast year</t>
  </si>
  <si>
    <t>Assume a constant 4.0% in each year of the forecast period</t>
  </si>
  <si>
    <t>Assume a constant growth rate of 5.0% in each forecast year</t>
  </si>
  <si>
    <t>Assume 0 in each year</t>
  </si>
  <si>
    <t>Assume a constant 2.0% in each year of the forecast period</t>
  </si>
  <si>
    <t>Assume a constant 10.0% in each year of the forecast period</t>
  </si>
  <si>
    <t>Assume a constant 3.0% in each year of the forecast period</t>
  </si>
  <si>
    <t>b. Balance Sheet Assumptions:</t>
  </si>
  <si>
    <t>Interest rate on short term debt</t>
  </si>
  <si>
    <t>Interest rate on long term debt</t>
  </si>
  <si>
    <t>Interest rate on cash</t>
  </si>
  <si>
    <t>Assume 1.00% constant in each forecast year</t>
  </si>
  <si>
    <t>Repayment/borrowing on short term debt</t>
  </si>
  <si>
    <t>Base Case Projected Future Financial Results</t>
  </si>
  <si>
    <t>KEY PROJECTION DRIVERS</t>
  </si>
  <si>
    <t>Accrued Expenses % of COGS</t>
  </si>
  <si>
    <t>Assume that D&amp;A expense is equal to 7.0% of Gross PP&amp;E in each forecast year</t>
  </si>
  <si>
    <t>2021E</t>
  </si>
  <si>
    <t>2022E</t>
  </si>
  <si>
    <t>2023E</t>
  </si>
  <si>
    <t>2024E</t>
  </si>
  <si>
    <t>2025E</t>
  </si>
  <si>
    <r>
      <t xml:space="preserve"> Based on the provided income statement and balance sheet information, please calculate the following performance ratios and metrics for the year 2018-2020 on the </t>
    </r>
    <r>
      <rPr>
        <b/>
        <sz val="11"/>
        <color theme="1"/>
        <rFont val="Arial"/>
        <family val="2"/>
      </rPr>
      <t>"Assumptions Tab":</t>
    </r>
  </si>
  <si>
    <t>Revenue Growth (note: Revenue was 580.6 in 2017)</t>
  </si>
  <si>
    <t>Dividend Payout Rate (percentage of net income)</t>
  </si>
  <si>
    <t>Dividend Payout Rate (percent of net income)</t>
  </si>
  <si>
    <t>Asset Dispositions ($0.0 in 2018-2020)</t>
  </si>
  <si>
    <t>Long Term Debt Amortization</t>
  </si>
  <si>
    <r>
      <t>Using the following assumptions, please construct the firm's projected financial  results for the years 2021-2025 on the</t>
    </r>
    <r>
      <rPr>
        <b/>
        <sz val="11"/>
        <color theme="1"/>
        <rFont val="Arial"/>
        <family val="2"/>
      </rPr>
      <t xml:space="preserve"> "Financial Statements Model Tab"</t>
    </r>
  </si>
  <si>
    <r>
      <t xml:space="preserve">Please note, you do </t>
    </r>
    <r>
      <rPr>
        <b/>
        <sz val="11"/>
        <color theme="1"/>
        <rFont val="Arial"/>
        <family val="2"/>
      </rPr>
      <t xml:space="preserve">not </t>
    </r>
    <r>
      <rPr>
        <sz val="11"/>
        <color theme="1"/>
        <rFont val="Arial"/>
        <family val="2"/>
      </rPr>
      <t>need to create a historical cash flow statement, only a projected statement for 2021-2025.</t>
    </r>
  </si>
  <si>
    <t>Assume 25% of Revenue in 2021 and a constant 10.0% of Revenue each remaining year of the forecast period</t>
  </si>
  <si>
    <t>3.75% in 2021, increasing by 0.25% each year thereafter</t>
  </si>
  <si>
    <t>4.50% in 2021, increasing by 0.25% each year thereafter</t>
  </si>
  <si>
    <t>Amortization of long term debt</t>
  </si>
  <si>
    <t>Assume $10 million per year</t>
  </si>
  <si>
    <t>Brew Company Historical and Projected Financial Results</t>
  </si>
  <si>
    <t>Use short term debt (revolver) as a facility to ensure cash balance stays at 0.0 or above by borrowing the amount of any cash deficit</t>
  </si>
  <si>
    <t>d. Debt and Interest Schedule Assumptions:</t>
  </si>
  <si>
    <t>Accounts Receivable Days (Ending Convention)</t>
  </si>
  <si>
    <t xml:space="preserve">Inventory Days (Ending Convention) </t>
  </si>
  <si>
    <t>Accounts Payable Days (Ending Convention)</t>
  </si>
  <si>
    <t>Accrued Exp. % of COGS</t>
  </si>
  <si>
    <t>Short-term Borrowings (Revolver)</t>
  </si>
  <si>
    <t>Use any cash available before change in cash from the revolver to (PAYDOWN) the outstanding revolver balance</t>
  </si>
  <si>
    <t>FORMATTING:</t>
  </si>
  <si>
    <t>Please make sure the model is formatted neatly and consistently.  Please present all $ values in millions, rounded to one decimal place.  Any per share and/or interest rate information should be presented to two decimal places.  Please be consistent in your use of cell alignment, fonts, number format (i.e. use % where appropriate), underlining, and any other cell formatting.</t>
  </si>
  <si>
    <t>Assume 25.0% of net income in each forecast year</t>
  </si>
  <si>
    <t>Interest Income</t>
  </si>
  <si>
    <t>Y/Y Increase</t>
  </si>
  <si>
    <t>Common Stock and APIC</t>
  </si>
  <si>
    <t>Assume it remains constant; link to 2020 balance for all years</t>
  </si>
  <si>
    <t>Long Term Debt (Term Loan)</t>
  </si>
  <si>
    <r>
      <t>DO</t>
    </r>
    <r>
      <rPr>
        <sz val="10"/>
        <color theme="0"/>
        <rFont val="Calibri"/>
        <family val="2"/>
        <scheme val="minor"/>
      </rPr>
      <t>DO NOT COMPLETE</t>
    </r>
  </si>
  <si>
    <t>DO NOT COMPLETE</t>
  </si>
  <si>
    <r>
      <t>Capex % of Revenue (note: Capex was 103.3 in 2018. Please use the information provided for Net PP&amp;E and Depreciation to calculate Capex in 2019 and 2020)…(</t>
    </r>
    <r>
      <rPr>
        <i/>
        <sz val="11"/>
        <rFont val="Arial"/>
        <family val="2"/>
      </rPr>
      <t>Capex = change in Net PP&amp;E + Depreciation)</t>
    </r>
  </si>
  <si>
    <t>See Earnings Models Lecture note pages 10-12 for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</si>
</sst>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0.0"/>
    <numFmt numFmtId="167" formatCode="_(* #,##0_);_(* \(#,##0\);_(* &quot;-&quot;??_);_(@_)"/>
    <numFmt numFmtId="168" formatCode="&quot;$&quot;#,##0.00"/>
    <numFmt numFmtId="169" formatCode="&quot;$&quot;#,##0.0"/>
    <numFmt numFmtId="170" formatCode="&quot;$&quot;#,##0.0_);\(&quot;$&quot;#,##0.0\)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b/>
      <u val="double"/>
      <sz val="10"/>
      <color indexed="8"/>
      <name val="Arial"/>
      <family val="2"/>
    </font>
    <font>
      <sz val="10"/>
      <color rgb="FFC00000"/>
      <name val="Arial"/>
      <family val="2"/>
    </font>
    <font>
      <i/>
      <sz val="8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sz val="10"/>
      <color theme="1"/>
      <name val="Calibri"/>
      <family val="2"/>
      <scheme val="minor"/>
    </font>
    <font>
      <i/>
      <sz val="10"/>
      <name val="Arial"/>
      <family val="2"/>
    </font>
    <font>
      <b/>
      <sz val="10"/>
      <color theme="1"/>
      <name val="Calibri"/>
      <family val="2"/>
      <scheme val="minor"/>
    </font>
    <font>
      <i/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3"/>
      <color theme="0"/>
      <name val="Arial"/>
      <family val="2"/>
    </font>
    <font>
      <b/>
      <i/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i/>
      <sz val="11"/>
      <color theme="1"/>
      <name val="Arial"/>
      <family val="2"/>
    </font>
    <font>
      <i/>
      <sz val="10"/>
      <color theme="1"/>
      <name val="Arial"/>
      <family val="2"/>
    </font>
    <font>
      <sz val="11"/>
      <name val="Arial"/>
      <family val="2"/>
    </font>
    <font>
      <b/>
      <sz val="11"/>
      <color rgb="FFC00000"/>
      <name val="Arial"/>
      <family val="2"/>
    </font>
    <font>
      <sz val="10"/>
      <color rgb="FF3333FF"/>
      <name val="Arial"/>
      <family val="2"/>
    </font>
    <font>
      <sz val="10"/>
      <color theme="0"/>
      <name val="Calibri"/>
      <family val="2"/>
      <scheme val="minor"/>
    </font>
    <font>
      <sz val="10"/>
      <color theme="0"/>
      <name val="Arial"/>
      <family val="2"/>
    </font>
    <font>
      <i/>
      <sz val="11"/>
      <name val="Arial"/>
      <family val="2"/>
    </font>
    <font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13">
    <xf numFmtId="0" fontId="0" fillId="0" borderId="0" xfId="0"/>
    <xf numFmtId="0" fontId="3" fillId="0" borderId="0" xfId="3" applyFont="1" applyAlignment="1">
      <alignment horizontal="left" vertical="top"/>
    </xf>
    <xf numFmtId="0" fontId="5" fillId="0" borderId="0" xfId="3" applyFont="1" applyAlignment="1">
      <alignment horizontal="left" vertical="top"/>
    </xf>
    <xf numFmtId="164" fontId="5" fillId="0" borderId="0" xfId="4" applyNumberFormat="1" applyFont="1" applyBorder="1" applyAlignment="1">
      <alignment horizontal="right" vertical="top" wrapText="1"/>
    </xf>
    <xf numFmtId="0" fontId="4" fillId="0" borderId="0" xfId="3" applyFont="1" applyAlignment="1">
      <alignment horizontal="left" vertical="top"/>
    </xf>
    <xf numFmtId="164" fontId="3" fillId="0" borderId="0" xfId="4" applyNumberFormat="1" applyFont="1" applyAlignment="1">
      <alignment horizontal="right" vertical="top" wrapText="1"/>
    </xf>
    <xf numFmtId="164" fontId="3" fillId="0" borderId="0" xfId="4" applyNumberFormat="1" applyFont="1" applyAlignment="1">
      <alignment horizontal="right" vertical="top"/>
    </xf>
    <xf numFmtId="43" fontId="3" fillId="0" borderId="0" xfId="1" applyFont="1" applyAlignment="1">
      <alignment horizontal="right" vertical="top"/>
    </xf>
    <xf numFmtId="0" fontId="2" fillId="0" borderId="0" xfId="3"/>
    <xf numFmtId="0" fontId="3" fillId="0" borderId="0" xfId="3" applyFont="1" applyAlignment="1">
      <alignment horizontal="right" vertical="top"/>
    </xf>
    <xf numFmtId="0" fontId="7" fillId="0" borderId="0" xfId="3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2" borderId="0" xfId="0" applyFont="1" applyFill="1"/>
    <xf numFmtId="0" fontId="11" fillId="2" borderId="0" xfId="0" applyFont="1" applyFill="1" applyAlignment="1">
      <alignment horizontal="right"/>
    </xf>
    <xf numFmtId="0" fontId="12" fillId="2" borderId="0" xfId="3" applyFont="1" applyFill="1" applyAlignment="1">
      <alignment horizontal="right"/>
    </xf>
    <xf numFmtId="0" fontId="12" fillId="2" borderId="0" xfId="3" applyFont="1" applyFill="1"/>
    <xf numFmtId="0" fontId="10" fillId="2" borderId="0" xfId="0" applyFont="1" applyFill="1"/>
    <xf numFmtId="0" fontId="15" fillId="0" borderId="0" xfId="3" applyFont="1"/>
    <xf numFmtId="0" fontId="2" fillId="0" borderId="0" xfId="0" applyFont="1"/>
    <xf numFmtId="0" fontId="12" fillId="0" borderId="0" xfId="0" applyFont="1"/>
    <xf numFmtId="166" fontId="12" fillId="0" borderId="0" xfId="3" applyNumberFormat="1" applyFont="1"/>
    <xf numFmtId="0" fontId="15" fillId="0" borderId="0" xfId="0" applyFont="1"/>
    <xf numFmtId="166" fontId="2" fillId="0" borderId="0" xfId="3" applyNumberFormat="1"/>
    <xf numFmtId="0" fontId="16" fillId="0" borderId="0" xfId="0" applyFont="1"/>
    <xf numFmtId="0" fontId="4" fillId="0" borderId="0" xfId="3" applyFont="1"/>
    <xf numFmtId="0" fontId="17" fillId="0" borderId="0" xfId="0" applyFont="1"/>
    <xf numFmtId="0" fontId="18" fillId="0" borderId="0" xfId="3" applyFont="1" applyAlignment="1">
      <alignment horizontal="left" wrapText="1"/>
    </xf>
    <xf numFmtId="0" fontId="19" fillId="2" borderId="0" xfId="0" applyFont="1" applyFill="1"/>
    <xf numFmtId="164" fontId="17" fillId="0" borderId="0" xfId="2" applyNumberFormat="1" applyFont="1"/>
    <xf numFmtId="0" fontId="20" fillId="0" borderId="0" xfId="0" applyFont="1"/>
    <xf numFmtId="0" fontId="21" fillId="0" borderId="0" xfId="0" applyFont="1"/>
    <xf numFmtId="0" fontId="13" fillId="0" borderId="0" xfId="0" applyFont="1"/>
    <xf numFmtId="0" fontId="8" fillId="0" borderId="0" xfId="0" applyFont="1" applyAlignment="1">
      <alignment wrapText="1"/>
    </xf>
    <xf numFmtId="0" fontId="14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164" fontId="10" fillId="0" borderId="0" xfId="2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27" fillId="0" borderId="0" xfId="3" applyFont="1"/>
    <xf numFmtId="10" fontId="29" fillId="0" borderId="0" xfId="0" applyNumberFormat="1" applyFont="1"/>
    <xf numFmtId="167" fontId="10" fillId="0" borderId="0" xfId="1" applyNumberFormat="1" applyFont="1" applyBorder="1" applyAlignment="1">
      <alignment horizontal="right" vertical="top"/>
    </xf>
    <xf numFmtId="167" fontId="10" fillId="0" borderId="0" xfId="1" applyNumberFormat="1" applyFont="1" applyBorder="1" applyAlignment="1">
      <alignment horizontal="right"/>
    </xf>
    <xf numFmtId="167" fontId="11" fillId="2" borderId="0" xfId="1" applyNumberFormat="1" applyFont="1" applyFill="1" applyBorder="1" applyAlignment="1">
      <alignment horizontal="right"/>
    </xf>
    <xf numFmtId="167" fontId="10" fillId="0" borderId="0" xfId="1" applyNumberFormat="1" applyFont="1" applyBorder="1"/>
    <xf numFmtId="164" fontId="10" fillId="0" borderId="0" xfId="2" applyNumberFormat="1" applyFont="1" applyFill="1" applyAlignment="1">
      <alignment horizontal="right"/>
    </xf>
    <xf numFmtId="164" fontId="10" fillId="0" borderId="0" xfId="2" applyNumberFormat="1" applyFont="1" applyBorder="1" applyAlignment="1">
      <alignment horizontal="right" vertical="top"/>
    </xf>
    <xf numFmtId="165" fontId="10" fillId="0" borderId="0" xfId="1" applyNumberFormat="1" applyFont="1" applyBorder="1" applyAlignment="1">
      <alignment horizontal="right"/>
    </xf>
    <xf numFmtId="165" fontId="12" fillId="2" borderId="0" xfId="1" applyNumberFormat="1" applyFont="1" applyFill="1" applyBorder="1" applyAlignment="1">
      <alignment horizontal="right"/>
    </xf>
    <xf numFmtId="164" fontId="2" fillId="0" borderId="0" xfId="2" applyNumberFormat="1" applyFont="1" applyBorder="1" applyAlignment="1">
      <alignment horizontal="right" vertical="top"/>
    </xf>
    <xf numFmtId="164" fontId="10" fillId="0" borderId="2" xfId="2" applyNumberFormat="1" applyFont="1" applyBorder="1" applyAlignment="1">
      <alignment horizontal="right" vertical="top"/>
    </xf>
    <xf numFmtId="164" fontId="33" fillId="0" borderId="0" xfId="1" applyNumberFormat="1" applyFont="1" applyAlignment="1">
      <alignment horizontal="right"/>
    </xf>
    <xf numFmtId="164" fontId="33" fillId="0" borderId="0" xfId="1" applyNumberFormat="1" applyFont="1"/>
    <xf numFmtId="164" fontId="10" fillId="0" borderId="0" xfId="1" applyNumberFormat="1" applyFont="1"/>
    <xf numFmtId="169" fontId="3" fillId="0" borderId="0" xfId="5" applyNumberFormat="1" applyFont="1" applyAlignment="1">
      <alignment horizontal="right" vertical="top" wrapText="1"/>
    </xf>
    <xf numFmtId="169" fontId="4" fillId="0" borderId="1" xfId="3" applyNumberFormat="1" applyFont="1" applyBorder="1" applyAlignment="1">
      <alignment horizontal="right" vertical="top" wrapText="1"/>
    </xf>
    <xf numFmtId="169" fontId="11" fillId="0" borderId="0" xfId="1" applyNumberFormat="1" applyFont="1" applyBorder="1" applyAlignment="1">
      <alignment horizontal="right" vertical="top"/>
    </xf>
    <xf numFmtId="169" fontId="3" fillId="0" borderId="0" xfId="3" applyNumberFormat="1" applyFont="1" applyAlignment="1">
      <alignment horizontal="right" vertical="top" wrapText="1"/>
    </xf>
    <xf numFmtId="169" fontId="10" fillId="0" borderId="0" xfId="1" applyNumberFormat="1" applyFont="1" applyBorder="1" applyAlignment="1">
      <alignment horizontal="right" vertical="top"/>
    </xf>
    <xf numFmtId="169" fontId="3" fillId="0" borderId="2" xfId="1" applyNumberFormat="1" applyFont="1" applyBorder="1" applyAlignment="1">
      <alignment horizontal="right" vertical="top" wrapText="1"/>
    </xf>
    <xf numFmtId="169" fontId="10" fillId="0" borderId="2" xfId="1" applyNumberFormat="1" applyFont="1" applyBorder="1" applyAlignment="1">
      <alignment horizontal="right" vertical="top"/>
    </xf>
    <xf numFmtId="169" fontId="3" fillId="0" borderId="0" xfId="1" applyNumberFormat="1" applyFont="1" applyAlignment="1">
      <alignment horizontal="right" vertical="top" wrapText="1"/>
    </xf>
    <xf numFmtId="169" fontId="2" fillId="0" borderId="0" xfId="1" applyNumberFormat="1" applyFont="1" applyBorder="1" applyAlignment="1">
      <alignment horizontal="right" vertical="top"/>
    </xf>
    <xf numFmtId="169" fontId="3" fillId="0" borderId="3" xfId="1" applyNumberFormat="1" applyFont="1" applyBorder="1" applyAlignment="1">
      <alignment horizontal="right" vertical="top" wrapText="1"/>
    </xf>
    <xf numFmtId="169" fontId="10" fillId="0" borderId="6" xfId="1" applyNumberFormat="1" applyFont="1" applyBorder="1" applyAlignment="1">
      <alignment horizontal="right" vertical="top"/>
    </xf>
    <xf numFmtId="169" fontId="4" fillId="0" borderId="0" xfId="3" applyNumberFormat="1" applyFont="1" applyAlignment="1">
      <alignment horizontal="right" vertical="top"/>
    </xf>
    <xf numFmtId="169" fontId="4" fillId="0" borderId="4" xfId="3" applyNumberFormat="1" applyFont="1" applyBorder="1" applyAlignment="1">
      <alignment horizontal="right" vertical="top" wrapText="1"/>
    </xf>
    <xf numFmtId="169" fontId="11" fillId="0" borderId="4" xfId="1" applyNumberFormat="1" applyFont="1" applyBorder="1" applyAlignment="1">
      <alignment horizontal="right" vertical="top"/>
    </xf>
    <xf numFmtId="169" fontId="3" fillId="0" borderId="0" xfId="1" applyNumberFormat="1" applyFont="1" applyAlignment="1">
      <alignment horizontal="right" vertical="top"/>
    </xf>
    <xf numFmtId="169" fontId="3" fillId="0" borderId="0" xfId="1" applyNumberFormat="1" applyFont="1" applyBorder="1" applyAlignment="1">
      <alignment horizontal="right" vertical="top"/>
    </xf>
    <xf numFmtId="169" fontId="3" fillId="0" borderId="2" xfId="1" applyNumberFormat="1" applyFont="1" applyBorder="1" applyAlignment="1">
      <alignment horizontal="right" vertical="top"/>
    </xf>
    <xf numFmtId="169" fontId="4" fillId="0" borderId="0" xfId="1" applyNumberFormat="1" applyFont="1" applyBorder="1" applyAlignment="1">
      <alignment horizontal="right" vertical="top" wrapText="1"/>
    </xf>
    <xf numFmtId="169" fontId="3" fillId="0" borderId="0" xfId="3" applyNumberFormat="1" applyFont="1" applyAlignment="1">
      <alignment horizontal="left" vertical="top"/>
    </xf>
    <xf numFmtId="169" fontId="3" fillId="0" borderId="0" xfId="1" applyNumberFormat="1" applyFont="1" applyBorder="1" applyAlignment="1">
      <alignment horizontal="right" vertical="top" wrapText="1"/>
    </xf>
    <xf numFmtId="169" fontId="6" fillId="0" borderId="0" xfId="3" applyNumberFormat="1" applyFont="1" applyAlignment="1">
      <alignment horizontal="right" vertical="top" wrapText="1"/>
    </xf>
    <xf numFmtId="169" fontId="6" fillId="0" borderId="0" xfId="1" applyNumberFormat="1" applyFont="1" applyBorder="1" applyAlignment="1">
      <alignment horizontal="right" vertical="top" wrapText="1"/>
    </xf>
    <xf numFmtId="169" fontId="7" fillId="0" borderId="0" xfId="1" applyNumberFormat="1" applyFont="1" applyFill="1" applyAlignment="1">
      <alignment horizontal="right" vertical="top"/>
    </xf>
    <xf numFmtId="169" fontId="7" fillId="0" borderId="0" xfId="1" applyNumberFormat="1" applyFont="1" applyFill="1" applyBorder="1" applyAlignment="1">
      <alignment horizontal="right" vertical="top"/>
    </xf>
    <xf numFmtId="169" fontId="10" fillId="0" borderId="0" xfId="1" applyNumberFormat="1" applyFont="1" applyBorder="1" applyAlignment="1">
      <alignment horizontal="right"/>
    </xf>
    <xf numFmtId="169" fontId="11" fillId="0" borderId="0" xfId="1" applyNumberFormat="1" applyFont="1" applyBorder="1" applyAlignment="1">
      <alignment horizontal="right"/>
    </xf>
    <xf numFmtId="169" fontId="17" fillId="0" borderId="0" xfId="0" applyNumberFormat="1" applyFont="1"/>
    <xf numFmtId="169" fontId="11" fillId="2" borderId="0" xfId="1" applyNumberFormat="1" applyFont="1" applyFill="1" applyBorder="1" applyAlignment="1">
      <alignment horizontal="right"/>
    </xf>
    <xf numFmtId="10" fontId="10" fillId="0" borderId="0" xfId="2" applyNumberFormat="1" applyFont="1" applyBorder="1" applyAlignment="1">
      <alignment horizontal="right" vertical="top"/>
    </xf>
    <xf numFmtId="170" fontId="3" fillId="0" borderId="0" xfId="3" applyNumberFormat="1" applyFont="1" applyAlignment="1">
      <alignment horizontal="right" vertical="top" wrapText="1"/>
    </xf>
    <xf numFmtId="170" fontId="3" fillId="0" borderId="2" xfId="1" applyNumberFormat="1" applyFont="1" applyBorder="1" applyAlignment="1">
      <alignment horizontal="right" vertical="top" wrapText="1"/>
    </xf>
    <xf numFmtId="170" fontId="10" fillId="0" borderId="0" xfId="1" applyNumberFormat="1" applyFont="1" applyBorder="1" applyAlignment="1">
      <alignment horizontal="right"/>
    </xf>
    <xf numFmtId="170" fontId="11" fillId="0" borderId="0" xfId="1" applyNumberFormat="1" applyFont="1" applyBorder="1" applyAlignment="1">
      <alignment horizontal="right"/>
    </xf>
    <xf numFmtId="170" fontId="11" fillId="0" borderId="0" xfId="1" applyNumberFormat="1" applyFont="1" applyBorder="1" applyAlignment="1">
      <alignment horizontal="right" vertical="top"/>
    </xf>
    <xf numFmtId="170" fontId="10" fillId="0" borderId="0" xfId="1" applyNumberFormat="1" applyFont="1" applyBorder="1" applyAlignment="1">
      <alignment horizontal="right" vertical="top"/>
    </xf>
    <xf numFmtId="170" fontId="10" fillId="0" borderId="0" xfId="5" applyNumberFormat="1" applyFont="1" applyBorder="1" applyAlignment="1">
      <alignment horizontal="right" vertical="top"/>
    </xf>
    <xf numFmtId="170" fontId="10" fillId="0" borderId="2" xfId="5" applyNumberFormat="1" applyFont="1" applyBorder="1" applyAlignment="1">
      <alignment horizontal="right" vertical="top"/>
    </xf>
    <xf numFmtId="1" fontId="10" fillId="0" borderId="0" xfId="0" applyNumberFormat="1" applyFont="1" applyAlignment="1">
      <alignment horizontal="right"/>
    </xf>
    <xf numFmtId="1" fontId="33" fillId="0" borderId="0" xfId="2" applyNumberFormat="1" applyFont="1" applyAlignment="1">
      <alignment horizontal="right"/>
    </xf>
    <xf numFmtId="1" fontId="33" fillId="0" borderId="0" xfId="1" applyNumberFormat="1" applyFont="1" applyAlignment="1">
      <alignment horizontal="right"/>
    </xf>
    <xf numFmtId="168" fontId="10" fillId="0" borderId="0" xfId="0" applyNumberFormat="1" applyFont="1" applyAlignment="1">
      <alignment horizontal="right"/>
    </xf>
    <xf numFmtId="168" fontId="33" fillId="0" borderId="0" xfId="1" applyNumberFormat="1" applyFont="1" applyAlignment="1">
      <alignment horizontal="right"/>
    </xf>
    <xf numFmtId="1" fontId="10" fillId="0" borderId="0" xfId="2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69" fontId="4" fillId="0" borderId="0" xfId="5" applyNumberFormat="1" applyFont="1" applyAlignment="1">
      <alignment horizontal="right" vertical="top" wrapText="1"/>
    </xf>
    <xf numFmtId="169" fontId="11" fillId="0" borderId="0" xfId="5" applyNumberFormat="1" applyFont="1" applyBorder="1" applyAlignment="1">
      <alignment horizontal="right" vertical="top"/>
    </xf>
    <xf numFmtId="0" fontId="28" fillId="0" borderId="0" xfId="0" applyFont="1" applyAlignment="1">
      <alignment horizontal="left" wrapText="1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22" fillId="3" borderId="0" xfId="0" applyFont="1" applyFill="1" applyAlignment="1">
      <alignment horizontal="left"/>
    </xf>
    <xf numFmtId="10" fontId="31" fillId="4" borderId="0" xfId="0" applyNumberFormat="1" applyFont="1" applyFill="1" applyAlignment="1">
      <alignment horizontal="center"/>
    </xf>
    <xf numFmtId="0" fontId="31" fillId="5" borderId="0" xfId="3" applyFont="1" applyFill="1" applyAlignment="1">
      <alignment horizontal="center" vertical="center" wrapText="1"/>
    </xf>
    <xf numFmtId="0" fontId="18" fillId="0" borderId="0" xfId="3" applyFont="1" applyAlignment="1">
      <alignment horizontal="left" wrapText="1"/>
    </xf>
    <xf numFmtId="0" fontId="18" fillId="0" borderId="0" xfId="3" applyFont="1" applyAlignment="1">
      <alignment horizontal="center" wrapText="1"/>
    </xf>
    <xf numFmtId="0" fontId="26" fillId="0" borderId="0" xfId="0" applyFont="1" applyAlignment="1">
      <alignment horizontal="center"/>
    </xf>
    <xf numFmtId="0" fontId="17" fillId="5" borderId="0" xfId="0" applyFont="1" applyFill="1" applyAlignment="1">
      <alignment horizontal="center" vertical="center" wrapText="1"/>
    </xf>
  </cellXfs>
  <cellStyles count="6">
    <cellStyle name="Comma" xfId="1" builtinId="3"/>
    <cellStyle name="Currency" xfId="5" builtinId="4"/>
    <cellStyle name="Normal" xfId="0" builtinId="0"/>
    <cellStyle name="Normal 2" xfId="3" xr:uid="{00000000-0005-0000-0000-000002000000}"/>
    <cellStyle name="Percent" xfId="2" builtinId="5"/>
    <cellStyle name="Percent 2" xfId="4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61"/>
  <sheetViews>
    <sheetView topLeftCell="A49" workbookViewId="0">
      <selection activeCell="M19" sqref="M19"/>
    </sheetView>
  </sheetViews>
  <sheetFormatPr defaultColWidth="8.85546875" defaultRowHeight="14.25" x14ac:dyDescent="0.2"/>
  <cols>
    <col min="1" max="1" width="1.85546875" style="11" customWidth="1"/>
    <col min="2" max="2" width="1.7109375" style="11" customWidth="1"/>
    <col min="3" max="3" width="1.5703125" style="11" customWidth="1"/>
    <col min="4" max="4" width="2.140625" style="11" customWidth="1"/>
    <col min="5" max="5" width="43.42578125" style="11" customWidth="1"/>
    <col min="6" max="16384" width="8.85546875" style="11"/>
  </cols>
  <sheetData>
    <row r="2" spans="1:8" ht="15" x14ac:dyDescent="0.25">
      <c r="A2" s="35" t="s">
        <v>98</v>
      </c>
      <c r="B2" s="35" t="s">
        <v>97</v>
      </c>
      <c r="C2" s="35"/>
      <c r="D2" s="35"/>
      <c r="E2" s="35"/>
      <c r="F2" s="35"/>
      <c r="G2" s="35"/>
      <c r="H2" s="35"/>
    </row>
    <row r="3" spans="1:8" ht="15" x14ac:dyDescent="0.25">
      <c r="C3" s="11" t="s">
        <v>133</v>
      </c>
    </row>
    <row r="4" spans="1:8" ht="15" x14ac:dyDescent="0.25">
      <c r="D4" s="36" t="s">
        <v>99</v>
      </c>
      <c r="E4" s="37"/>
      <c r="F4" s="37"/>
      <c r="G4" s="37"/>
    </row>
    <row r="5" spans="1:8" x14ac:dyDescent="0.2">
      <c r="E5" s="41" t="s">
        <v>134</v>
      </c>
    </row>
    <row r="6" spans="1:8" x14ac:dyDescent="0.2">
      <c r="E6" s="41" t="s">
        <v>49</v>
      </c>
    </row>
    <row r="7" spans="1:8" x14ac:dyDescent="0.2">
      <c r="E7" s="41" t="s">
        <v>50</v>
      </c>
    </row>
    <row r="8" spans="1:8" x14ac:dyDescent="0.2">
      <c r="E8" s="41" t="s">
        <v>51</v>
      </c>
    </row>
    <row r="9" spans="1:8" x14ac:dyDescent="0.2">
      <c r="E9" s="41" t="s">
        <v>52</v>
      </c>
    </row>
    <row r="10" spans="1:8" x14ac:dyDescent="0.2">
      <c r="E10" s="41" t="s">
        <v>53</v>
      </c>
    </row>
    <row r="11" spans="1:8" x14ac:dyDescent="0.2">
      <c r="E11" s="41" t="s">
        <v>135</v>
      </c>
    </row>
    <row r="12" spans="1:8" x14ac:dyDescent="0.2">
      <c r="D12" s="36" t="s">
        <v>100</v>
      </c>
      <c r="E12" s="38"/>
      <c r="F12" s="38"/>
    </row>
    <row r="13" spans="1:8" x14ac:dyDescent="0.2">
      <c r="E13" s="41" t="s">
        <v>56</v>
      </c>
      <c r="F13" s="11" t="s">
        <v>166</v>
      </c>
    </row>
    <row r="14" spans="1:8" x14ac:dyDescent="0.2">
      <c r="E14" s="41" t="s">
        <v>57</v>
      </c>
      <c r="F14" s="11" t="s">
        <v>166</v>
      </c>
    </row>
    <row r="15" spans="1:8" x14ac:dyDescent="0.2">
      <c r="E15" s="41" t="s">
        <v>58</v>
      </c>
    </row>
    <row r="16" spans="1:8" x14ac:dyDescent="0.2">
      <c r="E16" s="41" t="s">
        <v>165</v>
      </c>
    </row>
    <row r="17" spans="1:8" x14ac:dyDescent="0.2">
      <c r="E17" s="41" t="s">
        <v>137</v>
      </c>
    </row>
    <row r="18" spans="1:8" x14ac:dyDescent="0.2">
      <c r="E18" s="41" t="s">
        <v>61</v>
      </c>
    </row>
    <row r="19" spans="1:8" x14ac:dyDescent="0.2">
      <c r="E19" s="41" t="s">
        <v>62</v>
      </c>
      <c r="F19" s="11" t="s">
        <v>166</v>
      </c>
    </row>
    <row r="20" spans="1:8" x14ac:dyDescent="0.2">
      <c r="E20" s="41" t="s">
        <v>126</v>
      </c>
    </row>
    <row r="21" spans="1:8" x14ac:dyDescent="0.2">
      <c r="E21" s="41" t="s">
        <v>63</v>
      </c>
    </row>
    <row r="22" spans="1:8" x14ac:dyDescent="0.2">
      <c r="E22" s="41" t="s">
        <v>64</v>
      </c>
    </row>
    <row r="24" spans="1:8" ht="15" x14ac:dyDescent="0.25">
      <c r="A24" s="35" t="s">
        <v>101</v>
      </c>
      <c r="B24" s="35" t="s">
        <v>124</v>
      </c>
      <c r="C24" s="35"/>
      <c r="D24" s="35"/>
      <c r="E24" s="35"/>
      <c r="F24" s="35"/>
      <c r="G24" s="35"/>
      <c r="H24" s="35"/>
    </row>
    <row r="25" spans="1:8" ht="13.9" customHeight="1" x14ac:dyDescent="0.25">
      <c r="C25" s="11" t="s">
        <v>139</v>
      </c>
    </row>
    <row r="26" spans="1:8" x14ac:dyDescent="0.2">
      <c r="C26" s="11" t="s">
        <v>103</v>
      </c>
    </row>
    <row r="27" spans="1:8" ht="15" x14ac:dyDescent="0.25">
      <c r="C27" s="11" t="s">
        <v>140</v>
      </c>
    </row>
    <row r="28" spans="1:8" ht="15" x14ac:dyDescent="0.25">
      <c r="D28" s="36" t="s">
        <v>102</v>
      </c>
      <c r="E28" s="37"/>
      <c r="F28" s="37"/>
    </row>
    <row r="29" spans="1:8" x14ac:dyDescent="0.2">
      <c r="E29" s="41" t="s">
        <v>48</v>
      </c>
      <c r="F29" s="11" t="s">
        <v>113</v>
      </c>
    </row>
    <row r="30" spans="1:8" x14ac:dyDescent="0.2">
      <c r="E30" s="41" t="s">
        <v>49</v>
      </c>
      <c r="F30" s="11" t="s">
        <v>104</v>
      </c>
    </row>
    <row r="31" spans="1:8" x14ac:dyDescent="0.2">
      <c r="E31" s="41" t="s">
        <v>50</v>
      </c>
      <c r="F31" s="11" t="s">
        <v>109</v>
      </c>
    </row>
    <row r="32" spans="1:8" x14ac:dyDescent="0.2">
      <c r="E32" s="41" t="s">
        <v>51</v>
      </c>
      <c r="F32" s="11" t="s">
        <v>127</v>
      </c>
    </row>
    <row r="33" spans="4:6" x14ac:dyDescent="0.2">
      <c r="E33" s="41" t="s">
        <v>52</v>
      </c>
      <c r="F33" s="11" t="s">
        <v>105</v>
      </c>
    </row>
    <row r="34" spans="4:6" x14ac:dyDescent="0.2">
      <c r="E34" s="41" t="s">
        <v>53</v>
      </c>
      <c r="F34" s="11" t="s">
        <v>106</v>
      </c>
    </row>
    <row r="35" spans="4:6" x14ac:dyDescent="0.2">
      <c r="E35" s="41" t="s">
        <v>54</v>
      </c>
      <c r="F35" s="11" t="s">
        <v>157</v>
      </c>
    </row>
    <row r="36" spans="4:6" x14ac:dyDescent="0.2">
      <c r="E36" s="41"/>
    </row>
    <row r="38" spans="4:6" ht="15" x14ac:dyDescent="0.25">
      <c r="D38" s="36" t="s">
        <v>118</v>
      </c>
      <c r="E38" s="37"/>
      <c r="F38" s="37"/>
    </row>
    <row r="39" spans="4:6" x14ac:dyDescent="0.2">
      <c r="E39" s="41" t="s">
        <v>149</v>
      </c>
      <c r="F39" s="11" t="s">
        <v>111</v>
      </c>
    </row>
    <row r="40" spans="4:6" x14ac:dyDescent="0.2">
      <c r="E40" s="41" t="s">
        <v>150</v>
      </c>
      <c r="F40" s="11" t="s">
        <v>110</v>
      </c>
    </row>
    <row r="41" spans="4:6" x14ac:dyDescent="0.2">
      <c r="E41" s="41" t="s">
        <v>58</v>
      </c>
      <c r="F41" s="11" t="s">
        <v>115</v>
      </c>
    </row>
    <row r="42" spans="4:6" x14ac:dyDescent="0.2">
      <c r="E42" s="41" t="s">
        <v>108</v>
      </c>
      <c r="F42" s="11" t="s">
        <v>141</v>
      </c>
    </row>
    <row r="43" spans="4:6" x14ac:dyDescent="0.2">
      <c r="E43" s="41" t="s">
        <v>60</v>
      </c>
      <c r="F43" s="11" t="s">
        <v>114</v>
      </c>
    </row>
    <row r="44" spans="4:6" x14ac:dyDescent="0.2">
      <c r="E44" s="41" t="s">
        <v>61</v>
      </c>
      <c r="F44" s="11" t="s">
        <v>112</v>
      </c>
    </row>
    <row r="45" spans="4:6" x14ac:dyDescent="0.2">
      <c r="E45" s="41" t="s">
        <v>151</v>
      </c>
      <c r="F45" s="11" t="s">
        <v>111</v>
      </c>
    </row>
    <row r="46" spans="4:6" x14ac:dyDescent="0.2">
      <c r="E46" s="41" t="s">
        <v>126</v>
      </c>
      <c r="F46" s="11" t="s">
        <v>116</v>
      </c>
    </row>
    <row r="47" spans="4:6" x14ac:dyDescent="0.2">
      <c r="E47" s="41" t="s">
        <v>63</v>
      </c>
      <c r="F47" s="11" t="s">
        <v>115</v>
      </c>
    </row>
    <row r="48" spans="4:6" x14ac:dyDescent="0.2">
      <c r="E48" s="41" t="s">
        <v>64</v>
      </c>
      <c r="F48" s="11" t="s">
        <v>117</v>
      </c>
    </row>
    <row r="49" spans="4:16" x14ac:dyDescent="0.2">
      <c r="E49" s="41" t="s">
        <v>160</v>
      </c>
      <c r="F49" s="11" t="s">
        <v>161</v>
      </c>
    </row>
    <row r="51" spans="4:16" x14ac:dyDescent="0.2">
      <c r="D51" s="36" t="s">
        <v>148</v>
      </c>
    </row>
    <row r="52" spans="4:16" x14ac:dyDescent="0.2">
      <c r="E52" s="41" t="s">
        <v>119</v>
      </c>
      <c r="F52" s="11" t="s">
        <v>142</v>
      </c>
    </row>
    <row r="53" spans="4:16" x14ac:dyDescent="0.2">
      <c r="E53" s="41" t="s">
        <v>120</v>
      </c>
      <c r="F53" s="11" t="s">
        <v>143</v>
      </c>
    </row>
    <row r="54" spans="4:16" x14ac:dyDescent="0.2">
      <c r="E54" s="41" t="s">
        <v>121</v>
      </c>
      <c r="F54" s="11" t="s">
        <v>122</v>
      </c>
    </row>
    <row r="55" spans="4:16" x14ac:dyDescent="0.2">
      <c r="E55" s="41" t="s">
        <v>144</v>
      </c>
      <c r="F55" s="11" t="s">
        <v>145</v>
      </c>
    </row>
    <row r="57" spans="4:16" x14ac:dyDescent="0.2">
      <c r="E57" s="41" t="s">
        <v>123</v>
      </c>
      <c r="F57" s="11" t="s">
        <v>147</v>
      </c>
    </row>
    <row r="58" spans="4:16" x14ac:dyDescent="0.2">
      <c r="F58" s="11" t="s">
        <v>154</v>
      </c>
    </row>
    <row r="60" spans="4:16" ht="15" x14ac:dyDescent="0.25">
      <c r="E60" s="35" t="s">
        <v>155</v>
      </c>
    </row>
    <row r="61" spans="4:16" ht="43.15" customHeight="1" x14ac:dyDescent="0.25">
      <c r="E61" s="102" t="s">
        <v>156</v>
      </c>
      <c r="F61" s="102"/>
      <c r="G61" s="102"/>
      <c r="H61" s="102"/>
      <c r="I61" s="102"/>
      <c r="J61" s="102"/>
      <c r="K61" s="102"/>
      <c r="L61" s="102"/>
      <c r="M61" s="102"/>
      <c r="N61" s="102"/>
      <c r="O61" s="102"/>
      <c r="P61" s="102"/>
    </row>
  </sheetData>
  <mergeCells count="1">
    <mergeCell ref="E61:P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4" zoomScale="103" zoomScaleNormal="110" workbookViewId="0">
      <pane xSplit="2" ySplit="4" topLeftCell="C8" activePane="bottomRight" state="frozen"/>
      <selection activeCell="A4" sqref="A4"/>
      <selection pane="topRight" activeCell="C4" sqref="C4"/>
      <selection pane="bottomLeft" activeCell="A8" sqref="A8"/>
      <selection pane="bottomRight" activeCell="E18" sqref="E18"/>
    </sheetView>
  </sheetViews>
  <sheetFormatPr defaultColWidth="8.85546875" defaultRowHeight="12.75" x14ac:dyDescent="0.2"/>
  <cols>
    <col min="1" max="1" width="1.7109375" style="12" customWidth="1"/>
    <col min="2" max="2" width="38" style="12" customWidth="1"/>
    <col min="3" max="6" width="8.85546875" style="12"/>
    <col min="7" max="7" width="8.5703125" style="12" customWidth="1"/>
    <col min="8" max="16384" width="8.85546875" style="12"/>
  </cols>
  <sheetData>
    <row r="1" spans="1:10" ht="16.5" x14ac:dyDescent="0.25">
      <c r="A1" s="106" t="s">
        <v>146</v>
      </c>
      <c r="B1" s="106"/>
      <c r="C1" s="106"/>
      <c r="D1" s="106"/>
      <c r="E1" s="106"/>
      <c r="F1" s="106"/>
      <c r="G1" s="106"/>
      <c r="H1" s="106"/>
      <c r="I1" s="106"/>
      <c r="J1" s="106"/>
    </row>
    <row r="4" spans="1:10" x14ac:dyDescent="0.2">
      <c r="A4" s="14" t="s">
        <v>125</v>
      </c>
      <c r="B4" s="14"/>
      <c r="C4" s="14"/>
      <c r="D4" s="14"/>
      <c r="E4" s="14"/>
      <c r="F4" s="14"/>
      <c r="G4" s="14"/>
      <c r="H4" s="14"/>
      <c r="I4" s="14"/>
      <c r="J4" s="14"/>
    </row>
    <row r="6" spans="1:10" x14ac:dyDescent="0.2">
      <c r="C6" s="103" t="s">
        <v>65</v>
      </c>
      <c r="D6" s="104"/>
      <c r="E6" s="104"/>
      <c r="F6" s="103" t="s">
        <v>66</v>
      </c>
      <c r="G6" s="104"/>
      <c r="H6" s="104"/>
      <c r="I6" s="104"/>
      <c r="J6" s="105"/>
    </row>
    <row r="7" spans="1:10" x14ac:dyDescent="0.2">
      <c r="A7" s="18"/>
      <c r="B7" s="18"/>
      <c r="C7" s="15">
        <f>'Financial Statements Model'!B7</f>
        <v>2018</v>
      </c>
      <c r="D7" s="15">
        <f>'Financial Statements Model'!C7</f>
        <v>2019</v>
      </c>
      <c r="E7" s="15">
        <f>'Financial Statements Model'!D7</f>
        <v>2020</v>
      </c>
      <c r="F7" s="15" t="str">
        <f>'Financial Statements Model'!E7</f>
        <v>2021E</v>
      </c>
      <c r="G7" s="15" t="str">
        <f>'Financial Statements Model'!F7</f>
        <v>2022E</v>
      </c>
      <c r="H7" s="15" t="str">
        <f>'Financial Statements Model'!G7</f>
        <v>2023E</v>
      </c>
      <c r="I7" s="15" t="str">
        <f>'Financial Statements Model'!H7</f>
        <v>2024E</v>
      </c>
      <c r="J7" s="15" t="str">
        <f>'Financial Statements Model'!I7</f>
        <v>2025E</v>
      </c>
    </row>
    <row r="8" spans="1:10" x14ac:dyDescent="0.2">
      <c r="A8" s="19" t="s">
        <v>47</v>
      </c>
      <c r="B8" s="8"/>
    </row>
    <row r="9" spans="1:10" x14ac:dyDescent="0.2">
      <c r="A9" s="8"/>
      <c r="B9" s="8" t="s">
        <v>48</v>
      </c>
      <c r="C9" s="39">
        <f>'Financial Statements Model'!B9</f>
        <v>0.27300000000000002</v>
      </c>
      <c r="D9" s="39">
        <f>'Financial Statements Model'!C9</f>
        <v>0.22184335900131646</v>
      </c>
      <c r="E9" s="39">
        <f>'Financial Statements Model'!D9</f>
        <v>6.3041593254537398E-2</v>
      </c>
      <c r="F9" s="53">
        <v>0.05</v>
      </c>
      <c r="G9" s="53">
        <v>0.05</v>
      </c>
      <c r="H9" s="53">
        <v>0.05</v>
      </c>
      <c r="I9" s="53">
        <v>0.05</v>
      </c>
      <c r="J9" s="53">
        <v>0.05</v>
      </c>
    </row>
    <row r="10" spans="1:10" x14ac:dyDescent="0.2">
      <c r="A10" s="8"/>
      <c r="B10" s="8" t="s">
        <v>49</v>
      </c>
      <c r="C10" s="39">
        <f>'Financial Statements Model'!B12</f>
        <v>0.5208313882766189</v>
      </c>
      <c r="D10" s="39">
        <f>'Financial Statements Model'!C12</f>
        <v>0.51495835580455074</v>
      </c>
      <c r="E10" s="39">
        <f>'Financial Statements Model'!D12</f>
        <v>0.52255363389566367</v>
      </c>
      <c r="F10" s="53">
        <v>0.52</v>
      </c>
      <c r="G10" s="53">
        <v>0.52</v>
      </c>
      <c r="H10" s="53">
        <v>0.52</v>
      </c>
      <c r="I10" s="53">
        <v>0.52</v>
      </c>
      <c r="J10" s="53">
        <v>0.52</v>
      </c>
    </row>
    <row r="11" spans="1:10" x14ac:dyDescent="0.2">
      <c r="A11" s="8"/>
      <c r="B11" s="8" t="s">
        <v>50</v>
      </c>
      <c r="C11" s="39">
        <f>'Financial Statements Model'!B13/'Financial Statements Model'!B8</f>
        <v>0.33361883383194446</v>
      </c>
      <c r="D11" s="39">
        <f>'Financial Statements Model'!C13/'Financial Statements Model'!C8</f>
        <v>0.31181042893355199</v>
      </c>
      <c r="E11" s="39">
        <f>'Financial Statements Model'!D13/'Financial Statements Model'!D8</f>
        <v>0.31490185783605962</v>
      </c>
      <c r="F11" s="53">
        <v>0.3</v>
      </c>
      <c r="G11" s="53">
        <v>0.3</v>
      </c>
      <c r="H11" s="53">
        <v>0.3</v>
      </c>
      <c r="I11" s="53">
        <v>0.3</v>
      </c>
      <c r="J11" s="53">
        <v>0.3</v>
      </c>
    </row>
    <row r="12" spans="1:10" x14ac:dyDescent="0.2">
      <c r="A12" s="8"/>
      <c r="B12" s="8" t="s">
        <v>51</v>
      </c>
      <c r="C12" s="39">
        <f>'Financial Statements Model'!B14/'Financial Statements Model'!B40</f>
        <v>6.322600802071815E-2</v>
      </c>
      <c r="D12" s="39">
        <f>'Financial Statements Model'!C14/'Financial Statements Model'!C40</f>
        <v>6.3428397105305429E-2</v>
      </c>
      <c r="E12" s="39">
        <f>'Financial Statements Model'!D14/'Financial Statements Model'!D40</f>
        <v>6.9481573651926226E-2</v>
      </c>
      <c r="F12" s="53">
        <v>7.0000000000000007E-2</v>
      </c>
      <c r="G12" s="53">
        <v>7.0000000000000007E-2</v>
      </c>
      <c r="H12" s="53">
        <v>7.0000000000000007E-2</v>
      </c>
      <c r="I12" s="53">
        <v>7.0000000000000007E-2</v>
      </c>
      <c r="J12" s="53">
        <v>7.0000000000000007E-2</v>
      </c>
    </row>
    <row r="13" spans="1:10" x14ac:dyDescent="0.2">
      <c r="A13" s="8"/>
      <c r="B13" s="8" t="s">
        <v>52</v>
      </c>
      <c r="C13" s="39">
        <f>'Financial Statements Model'!B15</f>
        <v>0</v>
      </c>
      <c r="D13" s="39">
        <f>'Financial Statements Model'!C15</f>
        <v>0</v>
      </c>
      <c r="E13" s="39">
        <f>'Financial Statements Model'!D15</f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</row>
    <row r="14" spans="1:10" x14ac:dyDescent="0.2">
      <c r="A14" s="8"/>
      <c r="B14" s="8" t="s">
        <v>53</v>
      </c>
      <c r="C14" s="47">
        <f>'Financial Statements Model'!B23</f>
        <v>0.37480103506229051</v>
      </c>
      <c r="D14" s="47">
        <f>'Financial Statements Model'!C23</f>
        <v>0.36985017463892211</v>
      </c>
      <c r="E14" s="47">
        <f>'Financial Statements Model'!D23</f>
        <v>0.36175829514148572</v>
      </c>
      <c r="F14" s="53">
        <v>0.35</v>
      </c>
      <c r="G14" s="53">
        <v>0.35</v>
      </c>
      <c r="H14" s="53">
        <v>0.35</v>
      </c>
      <c r="I14" s="53">
        <v>0.35</v>
      </c>
      <c r="J14" s="53">
        <v>0.35</v>
      </c>
    </row>
    <row r="15" spans="1:10" x14ac:dyDescent="0.2">
      <c r="A15" s="8"/>
      <c r="B15" s="8" t="s">
        <v>136</v>
      </c>
      <c r="C15" s="47">
        <f>'Financial Statements Model'!B29/'Financial Statements Model'!B24</f>
        <v>0</v>
      </c>
      <c r="D15" s="47">
        <f>'Financial Statements Model'!C29/'Financial Statements Model'!C24</f>
        <v>0</v>
      </c>
      <c r="E15" s="47">
        <f>'Financial Statements Model'!D29/'Financial Statements Model'!D24</f>
        <v>0</v>
      </c>
      <c r="F15" s="53">
        <v>0.25</v>
      </c>
      <c r="G15" s="53">
        <v>0.25</v>
      </c>
      <c r="H15" s="53">
        <v>0.25</v>
      </c>
      <c r="I15" s="53">
        <v>0.25</v>
      </c>
      <c r="J15" s="53">
        <v>0.25</v>
      </c>
    </row>
    <row r="16" spans="1:10" x14ac:dyDescent="0.2">
      <c r="A16" s="8"/>
      <c r="B16" s="8"/>
      <c r="F16" s="54"/>
      <c r="G16" s="54"/>
      <c r="H16" s="54"/>
      <c r="I16" s="54"/>
      <c r="J16" s="54"/>
    </row>
    <row r="17" spans="1:10" x14ac:dyDescent="0.2">
      <c r="A17" s="19" t="s">
        <v>55</v>
      </c>
      <c r="B17" s="8"/>
      <c r="F17" s="54"/>
      <c r="G17" s="54"/>
      <c r="H17" s="54"/>
      <c r="I17" s="54"/>
      <c r="J17" s="54"/>
    </row>
    <row r="18" spans="1:10" x14ac:dyDescent="0.2">
      <c r="A18" s="8"/>
      <c r="B18" s="8" t="s">
        <v>56</v>
      </c>
      <c r="C18" s="93"/>
      <c r="D18" s="93">
        <f>(('Financial Statements Model'!C35+'Financial Statements Model'!B35)/2)*365/'Financial Statements Model'!C8</f>
        <v>21.578891415016717</v>
      </c>
      <c r="E18" s="93">
        <f>(('Financial Statements Model'!D35+'Financial Statements Model'!C35)/2)*365/'Financial Statements Model'!D8</f>
        <v>22.577942858571529</v>
      </c>
      <c r="F18" s="94">
        <v>25</v>
      </c>
      <c r="G18" s="94">
        <v>25</v>
      </c>
      <c r="H18" s="94">
        <v>25</v>
      </c>
      <c r="I18" s="94">
        <v>25</v>
      </c>
      <c r="J18" s="94">
        <v>25</v>
      </c>
    </row>
    <row r="19" spans="1:10" x14ac:dyDescent="0.2">
      <c r="A19" s="8"/>
      <c r="B19" s="8" t="s">
        <v>57</v>
      </c>
      <c r="C19" s="93"/>
      <c r="D19" s="93">
        <f>(('Financial Statements Model'!C36+'Financial Statements Model'!B36)/2)*365/'Financial Statements Model'!C10</f>
        <v>44.877076502981772</v>
      </c>
      <c r="E19" s="93">
        <f>(('Financial Statements Model'!D36+'Financial Statements Model'!C36)/2)*365/'Financial Statements Model'!D10</f>
        <v>42.9131856335244</v>
      </c>
      <c r="F19" s="94">
        <v>50</v>
      </c>
      <c r="G19" s="94">
        <v>50</v>
      </c>
      <c r="H19" s="94">
        <v>50</v>
      </c>
      <c r="I19" s="94">
        <v>50</v>
      </c>
      <c r="J19" s="94">
        <v>50</v>
      </c>
    </row>
    <row r="20" spans="1:10" x14ac:dyDescent="0.2">
      <c r="A20" s="8"/>
      <c r="B20" s="8" t="s">
        <v>58</v>
      </c>
      <c r="C20" s="39">
        <f>'Financial Statements Model'!B37/'Financial Statements Model'!B8</f>
        <v>1.9400503076234046E-2</v>
      </c>
      <c r="D20" s="39">
        <f>'Financial Statements Model'!C37/'Financial Statements Model'!C8</f>
        <v>1.8825989167304352E-2</v>
      </c>
      <c r="E20" s="39">
        <f>'Financial Statements Model'!D37/'Financial Statements Model'!D8</f>
        <v>1.7650171782643387E-2</v>
      </c>
      <c r="F20" s="53">
        <v>0.02</v>
      </c>
      <c r="G20" s="53">
        <v>0.02</v>
      </c>
      <c r="H20" s="53">
        <v>0.02</v>
      </c>
      <c r="I20" s="53">
        <v>0.02</v>
      </c>
      <c r="J20" s="53">
        <v>0.02</v>
      </c>
    </row>
    <row r="21" spans="1:10" x14ac:dyDescent="0.2">
      <c r="A21" s="8"/>
      <c r="B21" s="8" t="s">
        <v>59</v>
      </c>
      <c r="C21" s="39">
        <f>103.3/'Financial Statements Model'!B8</f>
        <v>0.13977346685555703</v>
      </c>
      <c r="D21" s="39">
        <f>('Financial Statements Model'!C42-'Financial Statements Model'!B42+'Financial Statements Model'!C14)/'Financial Statements Model'!C8</f>
        <v>0.16625341774759222</v>
      </c>
      <c r="E21" s="39">
        <f>('Financial Statements Model'!D42-'Financial Statements Model'!C42+'Financial Statements Model'!D14)/'Financial Statements Model'!D8</f>
        <v>7.4192600741300935E-2</v>
      </c>
      <c r="F21" s="53">
        <v>0.25</v>
      </c>
      <c r="G21" s="53">
        <v>0.1</v>
      </c>
      <c r="H21" s="53">
        <v>0.1</v>
      </c>
      <c r="I21" s="53">
        <v>0.1</v>
      </c>
      <c r="J21" s="53">
        <v>0.1</v>
      </c>
    </row>
    <row r="22" spans="1:10" x14ac:dyDescent="0.2">
      <c r="A22" s="8"/>
      <c r="B22" s="8" t="s">
        <v>60</v>
      </c>
      <c r="C22" s="96">
        <v>0</v>
      </c>
      <c r="D22" s="96">
        <v>0</v>
      </c>
      <c r="E22" s="96">
        <v>0</v>
      </c>
      <c r="F22" s="97">
        <v>0</v>
      </c>
      <c r="G22" s="97">
        <v>0</v>
      </c>
      <c r="H22" s="97">
        <v>0</v>
      </c>
      <c r="I22" s="97">
        <v>0</v>
      </c>
      <c r="J22" s="97">
        <v>0</v>
      </c>
    </row>
    <row r="23" spans="1:10" x14ac:dyDescent="0.2">
      <c r="A23" s="8"/>
      <c r="B23" s="8" t="s">
        <v>61</v>
      </c>
      <c r="C23" s="39">
        <f>'Financial Statements Model'!B44/'Financial Statements Model'!B8</f>
        <v>3.4798586840186024E-2</v>
      </c>
      <c r="D23" s="39">
        <f>'Financial Statements Model'!C44/'Financial Statements Model'!C8</f>
        <v>3.63917444715268E-2</v>
      </c>
      <c r="E23" s="39">
        <f>'Financial Statements Model'!D44/'Financial Statements Model'!D8</f>
        <v>5.9617640379442755E-2</v>
      </c>
      <c r="F23" s="53">
        <v>0.04</v>
      </c>
      <c r="G23" s="53">
        <v>0.04</v>
      </c>
      <c r="H23" s="53">
        <v>0.04</v>
      </c>
      <c r="I23" s="53">
        <v>0.04</v>
      </c>
      <c r="J23" s="53">
        <v>0.04</v>
      </c>
    </row>
    <row r="24" spans="1:10" x14ac:dyDescent="0.2">
      <c r="A24" s="8"/>
      <c r="B24" s="8"/>
      <c r="F24" s="54"/>
      <c r="G24" s="54"/>
      <c r="H24" s="54"/>
      <c r="I24" s="54"/>
      <c r="J24" s="54"/>
    </row>
    <row r="25" spans="1:10" x14ac:dyDescent="0.2">
      <c r="A25" s="8"/>
      <c r="B25" s="8" t="s">
        <v>62</v>
      </c>
      <c r="C25" s="98"/>
      <c r="D25" s="98">
        <f>(('Financial Statements Model'!C48+'Financial Statements Model'!B48)/2)*365/'Financial Statements Model'!C10</f>
        <v>29.166933031351885</v>
      </c>
      <c r="E25" s="98">
        <f>(('Financial Statements Model'!D48+'Financial Statements Model'!C48)/2)*365/'Financial Statements Model'!D10</f>
        <v>31.176358284767971</v>
      </c>
      <c r="F25" s="95">
        <v>25</v>
      </c>
      <c r="G25" s="95">
        <v>25</v>
      </c>
      <c r="H25" s="95">
        <v>25</v>
      </c>
      <c r="I25" s="95">
        <v>25</v>
      </c>
      <c r="J25" s="95">
        <v>25</v>
      </c>
    </row>
    <row r="26" spans="1:10" x14ac:dyDescent="0.2">
      <c r="A26" s="8"/>
      <c r="B26" s="8" t="s">
        <v>152</v>
      </c>
      <c r="C26" s="39">
        <f>'Financial Statements Model'!B49/'Financial Statements Model'!B10</f>
        <v>0.11688894787522132</v>
      </c>
      <c r="D26" s="39">
        <f>'Financial Statements Model'!C49/'Financial Statements Model'!C10</f>
        <v>0.11150786765175939</v>
      </c>
      <c r="E26" s="39">
        <f>'Financial Statements Model'!D49/'Financial Statements Model'!D10</f>
        <v>9.9428997833377331E-2</v>
      </c>
      <c r="F26" s="53">
        <v>0.1</v>
      </c>
      <c r="G26" s="53">
        <v>0.1</v>
      </c>
      <c r="H26" s="53">
        <v>0.1</v>
      </c>
      <c r="I26" s="53">
        <v>0.1</v>
      </c>
      <c r="J26" s="53">
        <v>0.1</v>
      </c>
    </row>
    <row r="27" spans="1:10" x14ac:dyDescent="0.2">
      <c r="A27" s="8"/>
      <c r="B27" s="8" t="s">
        <v>63</v>
      </c>
      <c r="C27" s="39">
        <f>'Financial Statements Model'!B51/'Financial Statements Model'!B10</f>
        <v>2.4197260335864414E-2</v>
      </c>
      <c r="D27" s="39">
        <f>'Financial Statements Model'!C51/'Financial Statements Model'!C10</f>
        <v>2.6854126521703402E-2</v>
      </c>
      <c r="E27" s="39">
        <f>'Financial Statements Model'!D51/'Financial Statements Model'!D10</f>
        <v>1.3913950388050191E-2</v>
      </c>
      <c r="F27" s="53">
        <v>0.02</v>
      </c>
      <c r="G27" s="53">
        <v>0.02</v>
      </c>
      <c r="H27" s="53">
        <v>0.02</v>
      </c>
      <c r="I27" s="53">
        <v>0.02</v>
      </c>
      <c r="J27" s="53">
        <v>0.02</v>
      </c>
    </row>
    <row r="28" spans="1:10" x14ac:dyDescent="0.2">
      <c r="A28" s="8"/>
      <c r="B28" s="8" t="s">
        <v>64</v>
      </c>
      <c r="C28" s="39">
        <f>'Financial Statements Model'!B55/'Financial Statements Model'!B10</f>
        <v>5.9300089514897035E-2</v>
      </c>
      <c r="D28" s="39">
        <f>'Financial Statements Model'!C55/'Financial Statements Model'!C10</f>
        <v>3.9498077608014687E-2</v>
      </c>
      <c r="E28" s="39">
        <f>'Financial Statements Model'!D55/'Financial Statements Model'!D10</f>
        <v>1.9855253023562294E-2</v>
      </c>
      <c r="F28" s="53">
        <v>0.03</v>
      </c>
      <c r="G28" s="53">
        <v>0.03</v>
      </c>
      <c r="H28" s="53">
        <v>0.03</v>
      </c>
      <c r="I28" s="53">
        <v>0.03</v>
      </c>
      <c r="J28" s="53">
        <v>0.03</v>
      </c>
    </row>
    <row r="29" spans="1:10" x14ac:dyDescent="0.2">
      <c r="A29" s="8"/>
      <c r="B29" s="8"/>
      <c r="F29" s="54"/>
      <c r="G29" s="54"/>
      <c r="H29" s="54"/>
      <c r="I29" s="54"/>
      <c r="J29" s="54"/>
    </row>
    <row r="30" spans="1:10" x14ac:dyDescent="0.2">
      <c r="F30" s="54"/>
      <c r="G30" s="54"/>
      <c r="H30" s="54"/>
      <c r="I30" s="54"/>
      <c r="J30" s="54"/>
    </row>
    <row r="31" spans="1:10" x14ac:dyDescent="0.2">
      <c r="A31" s="32" t="s">
        <v>107</v>
      </c>
      <c r="C31" s="12" t="s">
        <v>159</v>
      </c>
      <c r="F31" s="54"/>
      <c r="G31" s="54"/>
      <c r="H31" s="54"/>
      <c r="I31" s="54"/>
      <c r="J31" s="54"/>
    </row>
    <row r="32" spans="1:10" x14ac:dyDescent="0.2">
      <c r="B32" s="12" t="s">
        <v>94</v>
      </c>
      <c r="C32" s="42">
        <v>2.5000000000000001E-3</v>
      </c>
      <c r="F32" s="53">
        <v>3.7499999999999999E-2</v>
      </c>
      <c r="G32" s="99">
        <f>F32+$C$32</f>
        <v>0.04</v>
      </c>
      <c r="H32" s="99">
        <f>G32+$C$32</f>
        <v>4.2500000000000003E-2</v>
      </c>
      <c r="I32" s="99">
        <f>H32+$C$32</f>
        <v>4.5000000000000005E-2</v>
      </c>
      <c r="J32" s="99">
        <f>I32+$C$32</f>
        <v>4.7500000000000007E-2</v>
      </c>
    </row>
    <row r="33" spans="2:10" x14ac:dyDescent="0.2">
      <c r="B33" s="12" t="s">
        <v>95</v>
      </c>
      <c r="C33" s="42">
        <v>2.5000000000000001E-3</v>
      </c>
      <c r="F33" s="53">
        <v>4.4999999999999998E-2</v>
      </c>
      <c r="G33" s="99">
        <f>F33+$C$33</f>
        <v>4.7500000000000001E-2</v>
      </c>
      <c r="H33" s="99">
        <f>G33+$C$33</f>
        <v>0.05</v>
      </c>
      <c r="I33" s="99">
        <f>H33+$C$33</f>
        <v>5.2500000000000005E-2</v>
      </c>
      <c r="J33" s="99">
        <f>I33+$C$33</f>
        <v>5.5000000000000007E-2</v>
      </c>
    </row>
    <row r="34" spans="2:10" x14ac:dyDescent="0.2">
      <c r="B34" s="12" t="s">
        <v>96</v>
      </c>
      <c r="F34" s="53">
        <v>0.01</v>
      </c>
      <c r="G34" s="53">
        <v>0.01</v>
      </c>
      <c r="H34" s="53">
        <v>0.01</v>
      </c>
      <c r="I34" s="53">
        <v>0.01</v>
      </c>
      <c r="J34" s="53">
        <v>0.01</v>
      </c>
    </row>
    <row r="35" spans="2:10" x14ac:dyDescent="0.2">
      <c r="F35" s="55"/>
      <c r="G35" s="55"/>
      <c r="H35" s="55"/>
      <c r="I35" s="55"/>
      <c r="J35" s="55"/>
    </row>
    <row r="36" spans="2:10" x14ac:dyDescent="0.2">
      <c r="B36" s="12" t="s">
        <v>138</v>
      </c>
      <c r="C36" s="107" t="s">
        <v>164</v>
      </c>
      <c r="D36" s="107"/>
      <c r="E36" s="107"/>
      <c r="F36" s="97">
        <v>10</v>
      </c>
      <c r="G36" s="97">
        <v>10</v>
      </c>
      <c r="H36" s="97">
        <v>10</v>
      </c>
      <c r="I36" s="97">
        <v>10</v>
      </c>
      <c r="J36" s="97">
        <v>10</v>
      </c>
    </row>
  </sheetData>
  <mergeCells count="4">
    <mergeCell ref="C6:E6"/>
    <mergeCell ref="F6:J6"/>
    <mergeCell ref="A1:J1"/>
    <mergeCell ref="C36:E36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19"/>
  <sheetViews>
    <sheetView showGridLines="0" tabSelected="1" topLeftCell="A4" zoomScaleNormal="100" workbookViewId="0">
      <pane xSplit="1" ySplit="4" topLeftCell="B8" activePane="bottomRight" state="frozen"/>
      <selection activeCell="A4" sqref="A4"/>
      <selection pane="topRight" activeCell="B4" sqref="B4"/>
      <selection pane="bottomLeft" activeCell="A7" sqref="A7"/>
      <selection pane="bottomRight" activeCell="B16" sqref="B16:I16"/>
    </sheetView>
  </sheetViews>
  <sheetFormatPr defaultColWidth="8.85546875" defaultRowHeight="12.75" x14ac:dyDescent="0.2"/>
  <cols>
    <col min="1" max="1" width="41.42578125" style="27" customWidth="1"/>
    <col min="2" max="9" width="10.7109375" style="27" customWidth="1"/>
    <col min="10" max="16384" width="8.85546875" style="27"/>
  </cols>
  <sheetData>
    <row r="2" spans="1:11" x14ac:dyDescent="0.2">
      <c r="A2" s="26" t="s">
        <v>36</v>
      </c>
      <c r="B2" s="8"/>
    </row>
    <row r="3" spans="1:11" x14ac:dyDescent="0.2">
      <c r="A3" s="109" t="s">
        <v>37</v>
      </c>
      <c r="B3" s="109"/>
    </row>
    <row r="4" spans="1:11" ht="16.5" x14ac:dyDescent="0.25">
      <c r="A4" s="106" t="str">
        <f>Assumptions!A1</f>
        <v>Brew Company Historical and Projected Financial Results</v>
      </c>
      <c r="B4" s="106"/>
      <c r="C4" s="106"/>
      <c r="D4" s="106"/>
      <c r="E4" s="106"/>
      <c r="F4" s="106"/>
      <c r="G4" s="106"/>
      <c r="H4" s="106"/>
      <c r="I4" s="106"/>
    </row>
    <row r="5" spans="1:11" x14ac:dyDescent="0.2">
      <c r="A5" s="33"/>
      <c r="B5" s="28"/>
      <c r="C5" s="30"/>
    </row>
    <row r="6" spans="1:11" x14ac:dyDescent="0.2">
      <c r="A6" s="34" t="s">
        <v>37</v>
      </c>
      <c r="B6" s="110" t="s">
        <v>65</v>
      </c>
      <c r="C6" s="110"/>
      <c r="D6" s="110"/>
      <c r="E6" s="111" t="s">
        <v>66</v>
      </c>
      <c r="F6" s="111"/>
      <c r="G6" s="111"/>
      <c r="H6" s="111"/>
      <c r="I6" s="111"/>
    </row>
    <row r="7" spans="1:11" x14ac:dyDescent="0.2">
      <c r="A7" s="29" t="s">
        <v>38</v>
      </c>
      <c r="B7" s="14">
        <v>2018</v>
      </c>
      <c r="C7" s="14">
        <v>2019</v>
      </c>
      <c r="D7" s="14">
        <v>2020</v>
      </c>
      <c r="E7" s="15" t="s">
        <v>128</v>
      </c>
      <c r="F7" s="15" t="s">
        <v>129</v>
      </c>
      <c r="G7" s="15" t="s">
        <v>130</v>
      </c>
      <c r="H7" s="15" t="s">
        <v>131</v>
      </c>
      <c r="I7" s="15" t="s">
        <v>132</v>
      </c>
      <c r="J7" s="13"/>
      <c r="K7" s="13"/>
    </row>
    <row r="8" spans="1:11" ht="17.100000000000001" customHeight="1" x14ac:dyDescent="0.2">
      <c r="A8" s="1" t="s">
        <v>43</v>
      </c>
      <c r="B8" s="56">
        <v>739.053</v>
      </c>
      <c r="C8" s="56">
        <v>903.00699999999995</v>
      </c>
      <c r="D8" s="56">
        <v>959.93399999999997</v>
      </c>
      <c r="E8" s="91">
        <f>D8*(1+Assumptions!F9)</f>
        <v>1007.9307</v>
      </c>
      <c r="F8" s="91">
        <f>E8*(1+Assumptions!G9)</f>
        <v>1058.327235</v>
      </c>
      <c r="G8" s="91">
        <f>F8*(1+Assumptions!H9)</f>
        <v>1111.2435967500001</v>
      </c>
      <c r="H8" s="91">
        <f>G8*(1+Assumptions!I9)</f>
        <v>1166.8057765875001</v>
      </c>
      <c r="I8" s="91">
        <f>H8*(1+Assumptions!J9)</f>
        <v>1225.1460654168752</v>
      </c>
    </row>
    <row r="9" spans="1:11" ht="17.100000000000001" customHeight="1" x14ac:dyDescent="0.2">
      <c r="A9" s="2" t="s">
        <v>40</v>
      </c>
      <c r="B9" s="3">
        <v>0.27300000000000002</v>
      </c>
      <c r="C9" s="3">
        <v>0.22184335900131646</v>
      </c>
      <c r="D9" s="3">
        <v>6.3041593254537398E-2</v>
      </c>
      <c r="E9" s="48">
        <f>E8/D8-1</f>
        <v>5.0000000000000044E-2</v>
      </c>
      <c r="F9" s="48">
        <f>F8/E8-1</f>
        <v>5.0000000000000044E-2</v>
      </c>
      <c r="G9" s="48">
        <f>G8/F8-1</f>
        <v>5.0000000000000044E-2</v>
      </c>
      <c r="H9" s="48">
        <f>H8/G8-1</f>
        <v>5.0000000000000044E-2</v>
      </c>
      <c r="I9" s="48">
        <f>I8/H8-1</f>
        <v>5.0000000000000044E-2</v>
      </c>
    </row>
    <row r="10" spans="1:11" ht="17.100000000000001" customHeight="1" x14ac:dyDescent="0.2">
      <c r="A10" s="1" t="s">
        <v>0</v>
      </c>
      <c r="B10" s="56">
        <v>354.13099999999997</v>
      </c>
      <c r="C10" s="56">
        <v>437.99599999999998</v>
      </c>
      <c r="D10" s="56">
        <v>458.31700000000001</v>
      </c>
      <c r="E10" s="92">
        <f>E8-E11</f>
        <v>483.806736</v>
      </c>
      <c r="F10" s="92">
        <f>F8-F11</f>
        <v>507.99707279999996</v>
      </c>
      <c r="G10" s="92">
        <f>G8-G11</f>
        <v>533.39692644000002</v>
      </c>
      <c r="H10" s="92">
        <f>H8-H11</f>
        <v>560.06677276200003</v>
      </c>
      <c r="I10" s="92">
        <f>I8-I11</f>
        <v>588.07011140010013</v>
      </c>
    </row>
    <row r="11" spans="1:11" ht="17.100000000000001" customHeight="1" x14ac:dyDescent="0.2">
      <c r="A11" s="4" t="s">
        <v>1</v>
      </c>
      <c r="B11" s="57">
        <v>384.92200000000003</v>
      </c>
      <c r="C11" s="57">
        <v>465.01099999999997</v>
      </c>
      <c r="D11" s="57">
        <v>501.61699999999996</v>
      </c>
      <c r="E11" s="89">
        <f>E8*Assumptions!F10</f>
        <v>524.123964</v>
      </c>
      <c r="F11" s="89">
        <f>F8*Assumptions!G10</f>
        <v>550.33016220000002</v>
      </c>
      <c r="G11" s="89">
        <f>G8*Assumptions!H10</f>
        <v>577.84667031000004</v>
      </c>
      <c r="H11" s="89">
        <f>H8*Assumptions!I10</f>
        <v>606.73900382550005</v>
      </c>
      <c r="I11" s="89">
        <f>I8*Assumptions!J10</f>
        <v>637.07595401677509</v>
      </c>
    </row>
    <row r="12" spans="1:11" ht="17.100000000000001" customHeight="1" x14ac:dyDescent="0.2">
      <c r="A12" s="2" t="s">
        <v>41</v>
      </c>
      <c r="B12" s="3">
        <v>0.5208313882766189</v>
      </c>
      <c r="C12" s="3">
        <v>0.51495835580455074</v>
      </c>
      <c r="D12" s="3">
        <v>0.52255363389566367</v>
      </c>
      <c r="E12" s="48">
        <f>E11/E8</f>
        <v>0.52</v>
      </c>
      <c r="F12" s="48">
        <f>F11/F8</f>
        <v>0.52</v>
      </c>
      <c r="G12" s="48">
        <f>G11/G8</f>
        <v>0.52</v>
      </c>
      <c r="H12" s="48">
        <f>H11/H8</f>
        <v>0.52</v>
      </c>
      <c r="I12" s="48">
        <f>I11/I8</f>
        <v>0.52</v>
      </c>
    </row>
    <row r="13" spans="1:11" ht="17.100000000000001" customHeight="1" x14ac:dyDescent="0.2">
      <c r="A13" s="1" t="s">
        <v>2</v>
      </c>
      <c r="B13" s="59">
        <v>246.56200000000004</v>
      </c>
      <c r="C13" s="59">
        <v>281.56699999999995</v>
      </c>
      <c r="D13" s="59">
        <v>302.28500000000003</v>
      </c>
      <c r="E13" s="60">
        <f>E8*Assumptions!F11</f>
        <v>302.37921</v>
      </c>
      <c r="F13" s="60">
        <f>F8*Assumptions!G11</f>
        <v>317.49817049999996</v>
      </c>
      <c r="G13" s="60">
        <f>G8*Assumptions!H11</f>
        <v>333.37307902499998</v>
      </c>
      <c r="H13" s="60">
        <f>H8*Assumptions!I11</f>
        <v>350.04173297624999</v>
      </c>
      <c r="I13" s="60">
        <f>I8*Assumptions!J11</f>
        <v>367.54381962506255</v>
      </c>
    </row>
    <row r="14" spans="1:11" ht="17.100000000000001" customHeight="1" x14ac:dyDescent="0.2">
      <c r="A14" s="1" t="s">
        <v>3</v>
      </c>
      <c r="B14" s="59">
        <v>25.902999999999999</v>
      </c>
      <c r="C14" s="59">
        <v>35.137999999999998</v>
      </c>
      <c r="D14" s="59">
        <v>42.884999999999998</v>
      </c>
      <c r="E14" s="60">
        <f>E40*Assumptions!F12</f>
        <v>60.843767250000006</v>
      </c>
      <c r="F14" s="60">
        <f>F40*Assumptions!G12</f>
        <v>68.252057895000007</v>
      </c>
      <c r="G14" s="60">
        <f>G40*Assumptions!H12</f>
        <v>76.030763072250011</v>
      </c>
      <c r="H14" s="60">
        <f>H40*Assumptions!I12</f>
        <v>84.198403508362517</v>
      </c>
      <c r="I14" s="60">
        <f>I40*Assumptions!J12</f>
        <v>92.774425966280646</v>
      </c>
    </row>
    <row r="15" spans="1:11" ht="17.100000000000001" customHeight="1" x14ac:dyDescent="0.2">
      <c r="A15" s="1" t="s">
        <v>4</v>
      </c>
      <c r="B15" s="61">
        <v>0</v>
      </c>
      <c r="C15" s="61">
        <v>0</v>
      </c>
      <c r="D15" s="61">
        <v>0</v>
      </c>
      <c r="E15" s="62">
        <f>E8*Assumptions!F13</f>
        <v>0</v>
      </c>
      <c r="F15" s="62">
        <f>F8*Assumptions!G13</f>
        <v>0</v>
      </c>
      <c r="G15" s="62">
        <f>G8*Assumptions!H13</f>
        <v>0</v>
      </c>
      <c r="H15" s="62">
        <f>H8*Assumptions!I13</f>
        <v>0</v>
      </c>
      <c r="I15" s="62">
        <f>I8*Assumptions!J13</f>
        <v>0</v>
      </c>
    </row>
    <row r="16" spans="1:11" ht="17.100000000000001" customHeight="1" x14ac:dyDescent="0.2">
      <c r="A16" s="4" t="s">
        <v>5</v>
      </c>
      <c r="B16" s="100">
        <v>112.45699999999999</v>
      </c>
      <c r="C16" s="100">
        <v>148.30600000000004</v>
      </c>
      <c r="D16" s="100">
        <v>156.44699999999995</v>
      </c>
      <c r="E16" s="101">
        <f>E11-E13-E14-E15</f>
        <v>160.90098674999999</v>
      </c>
      <c r="F16" s="101">
        <f>F11-F13-F14-F15</f>
        <v>164.57993380500005</v>
      </c>
      <c r="G16" s="101">
        <f>G11-G13-G14-G15</f>
        <v>168.44282821275004</v>
      </c>
      <c r="H16" s="101">
        <f>H11-H13-H14-H15</f>
        <v>172.49886734088756</v>
      </c>
      <c r="I16" s="101">
        <f>I11-I13-I14-I15</f>
        <v>176.75770842543187</v>
      </c>
    </row>
    <row r="17" spans="1:10" ht="17.100000000000001" customHeight="1" x14ac:dyDescent="0.2">
      <c r="A17" s="2" t="s">
        <v>42</v>
      </c>
      <c r="B17" s="5">
        <v>0.15216364726210399</v>
      </c>
      <c r="C17" s="5">
        <v>0.16423571467330825</v>
      </c>
      <c r="D17" s="5">
        <v>0.16297682965703886</v>
      </c>
      <c r="E17" s="51">
        <f>E16/E8</f>
        <v>0.15963496969583324</v>
      </c>
      <c r="F17" s="51">
        <f>F16/F8</f>
        <v>0.15550949494841268</v>
      </c>
      <c r="G17" s="51">
        <f>G16/G8</f>
        <v>0.15158047137944064</v>
      </c>
      <c r="H17" s="51">
        <f>H16/H8</f>
        <v>0.14783854417089584</v>
      </c>
      <c r="I17" s="51">
        <f>I16/I8</f>
        <v>0.14427480397228168</v>
      </c>
    </row>
    <row r="18" spans="1:10" ht="17.100000000000001" customHeight="1" x14ac:dyDescent="0.2">
      <c r="A18" s="1" t="s">
        <v>6</v>
      </c>
      <c r="B18" s="63">
        <v>0</v>
      </c>
      <c r="C18" s="63">
        <v>0</v>
      </c>
      <c r="D18" s="63">
        <v>0</v>
      </c>
      <c r="E18" s="64">
        <f t="shared" ref="E18:I19" ca="1" si="0">E114</f>
        <v>5.60972579286938</v>
      </c>
      <c r="F18" s="64">
        <f t="shared" ca="1" si="0"/>
        <v>5.7177001877056934</v>
      </c>
      <c r="G18" s="64">
        <f t="shared" ca="1" si="0"/>
        <v>4.3731484675186678</v>
      </c>
      <c r="H18" s="64">
        <f t="shared" ca="1" si="0"/>
        <v>3.4125000000000005</v>
      </c>
      <c r="I18" s="64">
        <f t="shared" ca="1" si="0"/>
        <v>3.0250000000000004</v>
      </c>
    </row>
    <row r="19" spans="1:10" ht="17.100000000000001" customHeight="1" x14ac:dyDescent="0.2">
      <c r="A19" s="1" t="s">
        <v>158</v>
      </c>
      <c r="B19" s="63">
        <v>0</v>
      </c>
      <c r="C19" s="63">
        <v>0</v>
      </c>
      <c r="D19" s="63">
        <v>0</v>
      </c>
      <c r="E19" s="62">
        <f t="shared" ca="1" si="0"/>
        <v>0.47111999999999982</v>
      </c>
      <c r="F19" s="62">
        <f t="shared" ca="1" si="0"/>
        <v>0</v>
      </c>
      <c r="G19" s="62">
        <f t="shared" ca="1" si="0"/>
        <v>4.1932736379177273E-3</v>
      </c>
      <c r="H19" s="62">
        <f t="shared" ca="1" si="0"/>
        <v>0.18374365006023399</v>
      </c>
      <c r="I19" s="62">
        <f t="shared" ca="1" si="0"/>
        <v>0.55916697815954808</v>
      </c>
    </row>
    <row r="20" spans="1:10" ht="17.100000000000001" customHeight="1" x14ac:dyDescent="0.2">
      <c r="A20" s="1" t="s">
        <v>7</v>
      </c>
      <c r="B20" s="65">
        <f>3%*(B54+B50)</f>
        <v>1.71</v>
      </c>
      <c r="C20" s="65">
        <f>3%*(C54+C50)</f>
        <v>1.8389999999999997</v>
      </c>
      <c r="D20" s="65">
        <f>3%*(D54+D50)</f>
        <v>3.4949999999999997</v>
      </c>
      <c r="E20" s="66">
        <f ca="1">E18-E19</f>
        <v>5.13860579286938</v>
      </c>
      <c r="F20" s="66">
        <f ca="1">F18-F19</f>
        <v>5.7177001877056934</v>
      </c>
      <c r="G20" s="66">
        <f ca="1">G18-G19</f>
        <v>4.3689551938807503</v>
      </c>
      <c r="H20" s="66">
        <f ca="1">H18-H19</f>
        <v>3.2287563499397667</v>
      </c>
      <c r="I20" s="66">
        <f ca="1">I18-I19</f>
        <v>2.4658330218404521</v>
      </c>
    </row>
    <row r="21" spans="1:10" ht="17.100000000000001" customHeight="1" x14ac:dyDescent="0.2">
      <c r="A21" s="4" t="s">
        <v>8</v>
      </c>
      <c r="B21" s="67">
        <v>112.45699999999999</v>
      </c>
      <c r="C21" s="67">
        <v>148.30600000000004</v>
      </c>
      <c r="D21" s="67">
        <v>156.44699999999995</v>
      </c>
      <c r="E21" s="58">
        <f ca="1">E16-E20</f>
        <v>155.7623809571306</v>
      </c>
      <c r="F21" s="58">
        <f ca="1">F16-F20</f>
        <v>158.86223361729435</v>
      </c>
      <c r="G21" s="58">
        <f ca="1">G16-G20</f>
        <v>164.07387301886931</v>
      </c>
      <c r="H21" s="58">
        <f ca="1">H16-H20</f>
        <v>169.27011099094779</v>
      </c>
      <c r="I21" s="58">
        <f ca="1">I16-I20</f>
        <v>174.29187540359143</v>
      </c>
    </row>
    <row r="22" spans="1:10" ht="17.100000000000001" customHeight="1" x14ac:dyDescent="0.2">
      <c r="A22" s="1" t="s">
        <v>9</v>
      </c>
      <c r="B22" s="59">
        <v>42.149000000000001</v>
      </c>
      <c r="C22" s="59">
        <v>54.850999999999999</v>
      </c>
      <c r="D22" s="59">
        <v>56.595999999999997</v>
      </c>
      <c r="E22" s="60">
        <f ca="1">E21*Assumptions!F14</f>
        <v>54.516833334995709</v>
      </c>
      <c r="F22" s="60">
        <f ca="1">F21*Assumptions!G14</f>
        <v>55.601781766053023</v>
      </c>
      <c r="G22" s="60">
        <f ca="1">G21*Assumptions!H14</f>
        <v>57.425855556604255</v>
      </c>
      <c r="H22" s="60">
        <f ca="1">H21*Assumptions!I14</f>
        <v>59.244538846831723</v>
      </c>
      <c r="I22" s="60">
        <f ca="1">I21*Assumptions!J14</f>
        <v>61.002156391256996</v>
      </c>
    </row>
    <row r="23" spans="1:10" ht="17.100000000000001" customHeight="1" x14ac:dyDescent="0.2">
      <c r="A23" s="2" t="s">
        <v>44</v>
      </c>
      <c r="B23" s="5">
        <v>0.37480103506229051</v>
      </c>
      <c r="C23" s="5">
        <v>0.36985017463892211</v>
      </c>
      <c r="D23" s="5">
        <v>0.36175829514148572</v>
      </c>
      <c r="E23" s="52">
        <f ca="1">E22/E21</f>
        <v>0.35</v>
      </c>
      <c r="F23" s="52">
        <f ca="1">F22/F21</f>
        <v>0.35</v>
      </c>
      <c r="G23" s="52">
        <f ca="1">G22/G21</f>
        <v>0.35</v>
      </c>
      <c r="H23" s="52">
        <f ca="1">H22/H21</f>
        <v>0.35</v>
      </c>
      <c r="I23" s="52">
        <f ca="1">I22/I21</f>
        <v>0.35</v>
      </c>
    </row>
    <row r="24" spans="1:10" ht="17.100000000000001" customHeight="1" thickBot="1" x14ac:dyDescent="0.25">
      <c r="A24" s="4" t="s">
        <v>10</v>
      </c>
      <c r="B24" s="68">
        <v>70.307999999999993</v>
      </c>
      <c r="C24" s="68">
        <v>93.455000000000041</v>
      </c>
      <c r="D24" s="68">
        <v>99.850999999999942</v>
      </c>
      <c r="E24" s="69">
        <f ca="1">E21-E22</f>
        <v>101.24554762213489</v>
      </c>
      <c r="F24" s="69">
        <f ca="1">F21-F22</f>
        <v>103.26045185124133</v>
      </c>
      <c r="G24" s="69">
        <f ca="1">G21-G22</f>
        <v>106.64801746226505</v>
      </c>
      <c r="H24" s="69">
        <f ca="1">H21-H22</f>
        <v>110.02557214411607</v>
      </c>
      <c r="I24" s="69">
        <f ca="1">I21-I22</f>
        <v>113.28971901233444</v>
      </c>
    </row>
    <row r="25" spans="1:10" ht="17.100000000000001" customHeight="1" thickTop="1" x14ac:dyDescent="0.2">
      <c r="A25" s="2" t="s">
        <v>45</v>
      </c>
      <c r="B25" s="3">
        <v>9.513255476941436E-2</v>
      </c>
      <c r="C25" s="3">
        <v>0.103493106919437</v>
      </c>
      <c r="D25" s="3">
        <v>0.10401860961274416</v>
      </c>
      <c r="E25" s="48">
        <f ca="1">E24/E8</f>
        <v>0.10044891739296649</v>
      </c>
      <c r="F25" s="48">
        <f ca="1">F24/F8</f>
        <v>9.7569493098456764E-2</v>
      </c>
      <c r="G25" s="48">
        <f ca="1">G24/G8</f>
        <v>9.5971772322624216E-2</v>
      </c>
      <c r="H25" s="48">
        <f ca="1">H24/H8</f>
        <v>9.4296389640701375E-2</v>
      </c>
      <c r="I25" s="48">
        <f ca="1">I24/I8</f>
        <v>9.2470377378052332E-2</v>
      </c>
    </row>
    <row r="26" spans="1:10" ht="17.100000000000001" customHeight="1" x14ac:dyDescent="0.2">
      <c r="A26" s="4" t="s">
        <v>11</v>
      </c>
      <c r="B26" s="67">
        <f t="shared" ref="B26:I26" si="1">B16+B14</f>
        <v>138.35999999999999</v>
      </c>
      <c r="C26" s="67">
        <f t="shared" si="1"/>
        <v>183.44400000000005</v>
      </c>
      <c r="D26" s="67">
        <f t="shared" si="1"/>
        <v>199.33199999999994</v>
      </c>
      <c r="E26" s="58">
        <f t="shared" si="1"/>
        <v>221.744754</v>
      </c>
      <c r="F26" s="58">
        <f t="shared" si="1"/>
        <v>232.83199170000006</v>
      </c>
      <c r="G26" s="58">
        <f t="shared" si="1"/>
        <v>244.47359128500005</v>
      </c>
      <c r="H26" s="58">
        <f t="shared" si="1"/>
        <v>256.69727084925006</v>
      </c>
      <c r="I26" s="58">
        <f t="shared" si="1"/>
        <v>269.53213439171253</v>
      </c>
    </row>
    <row r="27" spans="1:10" ht="17.100000000000001" customHeight="1" x14ac:dyDescent="0.2">
      <c r="A27" s="1" t="s">
        <v>46</v>
      </c>
      <c r="B27" s="6">
        <f t="shared" ref="B27:I27" si="2">B26/B8</f>
        <v>0.18721255444467444</v>
      </c>
      <c r="C27" s="6">
        <f t="shared" si="2"/>
        <v>0.20314792687099884</v>
      </c>
      <c r="D27" s="6">
        <f t="shared" si="2"/>
        <v>0.20765177605960403</v>
      </c>
      <c r="E27" s="48">
        <f t="shared" si="2"/>
        <v>0.22</v>
      </c>
      <c r="F27" s="48">
        <f t="shared" si="2"/>
        <v>0.22000000000000006</v>
      </c>
      <c r="G27" s="48">
        <f t="shared" si="2"/>
        <v>0.22000000000000003</v>
      </c>
      <c r="H27" s="48">
        <f t="shared" si="2"/>
        <v>0.22000000000000003</v>
      </c>
      <c r="I27" s="48">
        <f t="shared" si="2"/>
        <v>0.21999999999999997</v>
      </c>
    </row>
    <row r="28" spans="1:10" ht="17.100000000000001" customHeight="1" x14ac:dyDescent="0.2">
      <c r="A28" s="1"/>
      <c r="B28" s="7"/>
      <c r="C28" s="7"/>
      <c r="D28" s="7"/>
      <c r="E28" s="49"/>
      <c r="F28" s="49"/>
      <c r="G28" s="49"/>
      <c r="H28" s="49"/>
      <c r="I28" s="49"/>
      <c r="J28" s="40"/>
    </row>
    <row r="29" spans="1:10" ht="17.100000000000001" customHeight="1" x14ac:dyDescent="0.2">
      <c r="A29" s="1" t="s">
        <v>68</v>
      </c>
      <c r="B29" s="70">
        <v>0</v>
      </c>
      <c r="C29" s="70">
        <v>0</v>
      </c>
      <c r="D29" s="70">
        <v>0</v>
      </c>
      <c r="E29" s="71">
        <f ca="1">E24*Assumptions!F15</f>
        <v>25.311386905533723</v>
      </c>
      <c r="F29" s="71">
        <f ca="1">F24*Assumptions!G15</f>
        <v>25.815112962810332</v>
      </c>
      <c r="G29" s="71">
        <f ca="1">G24*Assumptions!H15</f>
        <v>26.662004365566261</v>
      </c>
      <c r="H29" s="71">
        <f ca="1">H24*Assumptions!I15</f>
        <v>27.506393036029017</v>
      </c>
      <c r="I29" s="71">
        <f ca="1">I24*Assumptions!J15</f>
        <v>28.322429753083611</v>
      </c>
      <c r="J29" s="40"/>
    </row>
    <row r="30" spans="1:10" ht="17.100000000000001" customHeight="1" x14ac:dyDescent="0.2">
      <c r="A30" s="1"/>
      <c r="B30" s="7"/>
      <c r="C30" s="7"/>
      <c r="D30" s="7"/>
      <c r="E30" s="49"/>
      <c r="F30" s="49"/>
      <c r="G30" s="49"/>
      <c r="H30" s="49"/>
      <c r="I30" s="49"/>
      <c r="J30" s="40"/>
    </row>
    <row r="31" spans="1:10" ht="17.100000000000001" customHeight="1" x14ac:dyDescent="0.2">
      <c r="A31" s="1"/>
      <c r="B31" s="6"/>
      <c r="C31" s="6"/>
      <c r="D31" s="6"/>
      <c r="E31" s="49"/>
      <c r="F31" s="49"/>
      <c r="G31" s="49"/>
      <c r="H31" s="49"/>
      <c r="I31" s="49"/>
      <c r="J31" s="40"/>
    </row>
    <row r="32" spans="1:10" ht="17.100000000000001" customHeight="1" x14ac:dyDescent="0.2">
      <c r="A32" s="17" t="s">
        <v>39</v>
      </c>
      <c r="B32" s="16">
        <f>B7</f>
        <v>2018</v>
      </c>
      <c r="C32" s="16">
        <f>C7</f>
        <v>2019</v>
      </c>
      <c r="D32" s="16">
        <f>D7</f>
        <v>2020</v>
      </c>
      <c r="E32" s="50"/>
      <c r="F32" s="50"/>
      <c r="G32" s="50"/>
      <c r="H32" s="50"/>
      <c r="I32" s="50"/>
      <c r="J32" s="40"/>
    </row>
    <row r="33" spans="1:10" ht="17.100000000000001" customHeight="1" x14ac:dyDescent="0.2">
      <c r="A33" s="4" t="s">
        <v>12</v>
      </c>
      <c r="B33" s="1"/>
      <c r="C33" s="9"/>
      <c r="D33" s="9"/>
      <c r="E33" s="49"/>
      <c r="F33" s="49"/>
      <c r="G33" s="49"/>
      <c r="H33" s="49"/>
      <c r="I33" s="49"/>
      <c r="J33" s="40"/>
    </row>
    <row r="34" spans="1:10" ht="17.100000000000001" customHeight="1" x14ac:dyDescent="0.2">
      <c r="A34" s="1" t="s">
        <v>13</v>
      </c>
      <c r="B34" s="59">
        <v>49.524000000000001</v>
      </c>
      <c r="C34" s="59">
        <v>76.423999999999978</v>
      </c>
      <c r="D34" s="59">
        <v>94.223999999999961</v>
      </c>
      <c r="E34" s="71">
        <f ca="1">E94</f>
        <v>0</v>
      </c>
      <c r="F34" s="71">
        <f ca="1">F94</f>
        <v>0</v>
      </c>
      <c r="G34" s="71">
        <f ca="1">G94</f>
        <v>0.83865472758354542</v>
      </c>
      <c r="H34" s="71">
        <f ca="1">H94</f>
        <v>35.910075284463254</v>
      </c>
      <c r="I34" s="71">
        <f ca="1">I94</f>
        <v>75.923320347446349</v>
      </c>
      <c r="J34" s="40"/>
    </row>
    <row r="35" spans="1:10" ht="17.100000000000001" customHeight="1" x14ac:dyDescent="0.2">
      <c r="A35" s="1" t="s">
        <v>14</v>
      </c>
      <c r="B35" s="59">
        <v>44.018999999999998</v>
      </c>
      <c r="C35" s="59">
        <v>62.753</v>
      </c>
      <c r="D35" s="59">
        <v>56.005000000000003</v>
      </c>
      <c r="E35" s="71">
        <f>E8*Assumptions!F18/365</f>
        <v>69.036349315068492</v>
      </c>
      <c r="F35" s="71">
        <f>F8*Assumptions!G18/365</f>
        <v>72.488166780821913</v>
      </c>
      <c r="G35" s="71">
        <f>G8*Assumptions!H18/365</f>
        <v>76.11257511986301</v>
      </c>
      <c r="H35" s="71">
        <f>H8*Assumptions!I18/365</f>
        <v>79.918203875856165</v>
      </c>
      <c r="I35" s="71">
        <f>I8*Assumptions!J18/365</f>
        <v>83.914114069648988</v>
      </c>
      <c r="J35" s="40"/>
    </row>
    <row r="36" spans="1:10" ht="17.100000000000001" customHeight="1" x14ac:dyDescent="0.2">
      <c r="A36" s="1" t="s">
        <v>15</v>
      </c>
      <c r="B36" s="59">
        <v>56.396999999999998</v>
      </c>
      <c r="C36" s="59">
        <v>51.307000000000002</v>
      </c>
      <c r="D36" s="59">
        <v>56.462000000000003</v>
      </c>
      <c r="E36" s="71">
        <f>E10*Assumptions!F19/365</f>
        <v>66.274895342465754</v>
      </c>
      <c r="F36" s="71">
        <f>F10*Assumptions!G19/365</f>
        <v>69.588640109589036</v>
      </c>
      <c r="G36" s="71">
        <f>G10*Assumptions!H19/365</f>
        <v>73.068072115068503</v>
      </c>
      <c r="H36" s="71">
        <f>H10*Assumptions!I19/365</f>
        <v>76.721475720821928</v>
      </c>
      <c r="I36" s="71">
        <f>I10*Assumptions!J19/365</f>
        <v>80.557549506863026</v>
      </c>
      <c r="J36" s="40"/>
    </row>
    <row r="37" spans="1:10" ht="17.100000000000001" customHeight="1" x14ac:dyDescent="0.2">
      <c r="A37" s="1" t="s">
        <v>16</v>
      </c>
      <c r="B37" s="59">
        <v>14.338000000000001</v>
      </c>
      <c r="C37" s="59">
        <v>17</v>
      </c>
      <c r="D37" s="59">
        <v>16.942999999999998</v>
      </c>
      <c r="E37" s="72">
        <f>E8*Assumptions!F20</f>
        <v>20.158614</v>
      </c>
      <c r="F37" s="72">
        <f>F8*Assumptions!G20</f>
        <v>21.166544699999999</v>
      </c>
      <c r="G37" s="72">
        <f>G8*Assumptions!H20</f>
        <v>22.224871935000003</v>
      </c>
      <c r="H37" s="72">
        <f>H8*Assumptions!I20</f>
        <v>23.336115531750004</v>
      </c>
      <c r="I37" s="72">
        <f>I8*Assumptions!J20</f>
        <v>24.502921308337505</v>
      </c>
      <c r="J37" s="40"/>
    </row>
    <row r="38" spans="1:10" ht="17.100000000000001" customHeight="1" x14ac:dyDescent="0.2">
      <c r="A38" s="4" t="s">
        <v>17</v>
      </c>
      <c r="B38" s="57">
        <f t="shared" ref="B38:I38" si="3">SUM(B34:B37)</f>
        <v>164.27799999999999</v>
      </c>
      <c r="C38" s="57">
        <f t="shared" si="3"/>
        <v>207.48399999999998</v>
      </c>
      <c r="D38" s="57">
        <f t="shared" si="3"/>
        <v>223.63399999999996</v>
      </c>
      <c r="E38" s="73">
        <f t="shared" ca="1" si="3"/>
        <v>155.46985865753425</v>
      </c>
      <c r="F38" s="73">
        <f t="shared" ca="1" si="3"/>
        <v>163.24335159041095</v>
      </c>
      <c r="G38" s="73">
        <f t="shared" ca="1" si="3"/>
        <v>172.24417389751505</v>
      </c>
      <c r="H38" s="73">
        <f t="shared" ca="1" si="3"/>
        <v>215.88587041289136</v>
      </c>
      <c r="I38" s="73">
        <f t="shared" ca="1" si="3"/>
        <v>264.8979052322959</v>
      </c>
      <c r="J38" s="40"/>
    </row>
    <row r="39" spans="1:10" ht="17.100000000000001" customHeight="1" x14ac:dyDescent="0.2">
      <c r="A39" s="1"/>
      <c r="B39" s="74"/>
      <c r="C39" s="74"/>
      <c r="D39" s="74"/>
      <c r="E39" s="60"/>
      <c r="F39" s="60"/>
      <c r="G39" s="60"/>
      <c r="H39" s="60"/>
      <c r="I39" s="60"/>
      <c r="J39" s="40"/>
    </row>
    <row r="40" spans="1:10" ht="17.100000000000001" customHeight="1" x14ac:dyDescent="0.2">
      <c r="A40" s="1" t="s">
        <v>18</v>
      </c>
      <c r="B40" s="59">
        <v>409.68900000000002</v>
      </c>
      <c r="C40" s="59">
        <v>553.97900000000004</v>
      </c>
      <c r="D40" s="59">
        <v>617.21400000000006</v>
      </c>
      <c r="E40" s="71">
        <f>D40-E82</f>
        <v>869.19667500000003</v>
      </c>
      <c r="F40" s="71">
        <f>E40-F82</f>
        <v>975.02939850000007</v>
      </c>
      <c r="G40" s="71">
        <f>F40-G82</f>
        <v>1086.1537581750001</v>
      </c>
      <c r="H40" s="71">
        <f>G40-H82</f>
        <v>1202.8343358337502</v>
      </c>
      <c r="I40" s="71">
        <f>H40-I82</f>
        <v>1325.3489423754377</v>
      </c>
      <c r="J40" s="40"/>
    </row>
    <row r="41" spans="1:10" ht="17.100000000000001" customHeight="1" x14ac:dyDescent="0.2">
      <c r="A41" s="1" t="s">
        <v>19</v>
      </c>
      <c r="B41" s="85">
        <v>-143.1</v>
      </c>
      <c r="C41" s="85">
        <v>-172.4</v>
      </c>
      <c r="D41" s="85">
        <v>-207.3</v>
      </c>
      <c r="E41" s="86">
        <f>D41-E14</f>
        <v>-268.14376725</v>
      </c>
      <c r="F41" s="86">
        <f>E41-F14</f>
        <v>-336.395825145</v>
      </c>
      <c r="G41" s="86">
        <f t="shared" ref="G41:I41" si="4">F41-G14</f>
        <v>-412.42658821725001</v>
      </c>
      <c r="H41" s="86">
        <f t="shared" si="4"/>
        <v>-496.62499172561252</v>
      </c>
      <c r="I41" s="86">
        <f t="shared" si="4"/>
        <v>-589.39941769189318</v>
      </c>
      <c r="J41" s="40"/>
    </row>
    <row r="42" spans="1:10" ht="17.100000000000001" customHeight="1" x14ac:dyDescent="0.2">
      <c r="A42" s="4" t="s">
        <v>20</v>
      </c>
      <c r="B42" s="57">
        <f t="shared" ref="B42:I42" si="5">B40+B41</f>
        <v>266.58900000000006</v>
      </c>
      <c r="C42" s="57">
        <f t="shared" si="5"/>
        <v>381.57900000000006</v>
      </c>
      <c r="D42" s="57">
        <f t="shared" si="5"/>
        <v>409.91400000000004</v>
      </c>
      <c r="E42" s="73">
        <f t="shared" si="5"/>
        <v>601.05290775000003</v>
      </c>
      <c r="F42" s="73">
        <f t="shared" si="5"/>
        <v>638.63357335500007</v>
      </c>
      <c r="G42" s="73">
        <f t="shared" si="5"/>
        <v>673.72716995775011</v>
      </c>
      <c r="H42" s="73">
        <f t="shared" si="5"/>
        <v>706.20934410813766</v>
      </c>
      <c r="I42" s="73">
        <f t="shared" si="5"/>
        <v>735.9495246835445</v>
      </c>
      <c r="J42" s="40"/>
    </row>
    <row r="43" spans="1:10" ht="17.100000000000001" customHeight="1" x14ac:dyDescent="0.2">
      <c r="A43" s="1"/>
      <c r="B43" s="74"/>
      <c r="C43" s="74"/>
      <c r="D43" s="74"/>
      <c r="E43" s="60"/>
      <c r="F43" s="60"/>
      <c r="G43" s="60"/>
      <c r="H43" s="60"/>
      <c r="I43" s="60"/>
      <c r="J43" s="40"/>
    </row>
    <row r="44" spans="1:10" ht="17.100000000000001" customHeight="1" x14ac:dyDescent="0.2">
      <c r="A44" s="1" t="s">
        <v>21</v>
      </c>
      <c r="B44" s="59">
        <f>5.331+20.39-0.003</f>
        <v>25.718</v>
      </c>
      <c r="C44" s="59">
        <f>16.13+16.73+0.002</f>
        <v>32.862000000000002</v>
      </c>
      <c r="D44" s="59">
        <f>17.9+8.63-0.001+30.7</f>
        <v>57.228999999999999</v>
      </c>
      <c r="E44" s="61">
        <f>E8*Assumptions!F23</f>
        <v>40.317228</v>
      </c>
      <c r="F44" s="61">
        <f>F8*Assumptions!G23</f>
        <v>42.333089399999999</v>
      </c>
      <c r="G44" s="61">
        <f>G8*Assumptions!H23</f>
        <v>44.449743870000006</v>
      </c>
      <c r="H44" s="61">
        <f>H8*Assumptions!I23</f>
        <v>46.672231063500007</v>
      </c>
      <c r="I44" s="61">
        <f>I8*Assumptions!J23</f>
        <v>49.005842616675011</v>
      </c>
      <c r="J44" s="40"/>
    </row>
    <row r="45" spans="1:10" ht="17.100000000000001" customHeight="1" x14ac:dyDescent="0.2">
      <c r="A45" s="4" t="s">
        <v>22</v>
      </c>
      <c r="B45" s="57">
        <f t="shared" ref="B45:I45" si="6">B38+B42+B44</f>
        <v>456.58500000000009</v>
      </c>
      <c r="C45" s="57">
        <f t="shared" si="6"/>
        <v>621.92500000000007</v>
      </c>
      <c r="D45" s="57">
        <f t="shared" si="6"/>
        <v>690.77700000000004</v>
      </c>
      <c r="E45" s="73">
        <f t="shared" ca="1" si="6"/>
        <v>796.83999440753428</v>
      </c>
      <c r="F45" s="73">
        <f t="shared" ca="1" si="6"/>
        <v>844.21001434541097</v>
      </c>
      <c r="G45" s="73">
        <f t="shared" ca="1" si="6"/>
        <v>890.42108772526512</v>
      </c>
      <c r="H45" s="73">
        <f t="shared" ca="1" si="6"/>
        <v>968.76744558452901</v>
      </c>
      <c r="I45" s="73">
        <f t="shared" ca="1" si="6"/>
        <v>1049.8532725325153</v>
      </c>
      <c r="J45" s="40"/>
    </row>
    <row r="46" spans="1:10" ht="17.100000000000001" customHeight="1" x14ac:dyDescent="0.2">
      <c r="A46" s="1"/>
      <c r="B46" s="74"/>
      <c r="C46" s="74"/>
      <c r="D46" s="74"/>
      <c r="E46" s="60"/>
      <c r="F46" s="60"/>
      <c r="G46" s="60"/>
      <c r="H46" s="60"/>
      <c r="I46" s="60"/>
      <c r="J46" s="40"/>
    </row>
    <row r="47" spans="1:10" ht="17.100000000000001" customHeight="1" x14ac:dyDescent="0.2">
      <c r="A47" s="4" t="s">
        <v>23</v>
      </c>
      <c r="B47" s="74"/>
      <c r="C47" s="74"/>
      <c r="D47" s="74"/>
      <c r="E47" s="60"/>
      <c r="F47" s="60"/>
      <c r="G47" s="60"/>
      <c r="H47" s="60"/>
      <c r="I47" s="60"/>
      <c r="J47" s="40"/>
    </row>
    <row r="48" spans="1:10" ht="17.100000000000001" customHeight="1" x14ac:dyDescent="0.2">
      <c r="A48" s="1" t="s">
        <v>24</v>
      </c>
      <c r="B48" s="59">
        <v>34.423999999999999</v>
      </c>
      <c r="C48" s="59">
        <v>35.576000000000001</v>
      </c>
      <c r="D48" s="59">
        <v>42.718000000000004</v>
      </c>
      <c r="E48" s="71">
        <f>E10*Assumptions!F25/365</f>
        <v>33.137447671232877</v>
      </c>
      <c r="F48" s="71">
        <f>F10*Assumptions!G25/365</f>
        <v>34.794320054794518</v>
      </c>
      <c r="G48" s="71">
        <f>G10*Assumptions!H25/365</f>
        <v>36.534036057534252</v>
      </c>
      <c r="H48" s="71">
        <f>H10*Assumptions!I25/365</f>
        <v>38.360737860410964</v>
      </c>
      <c r="I48" s="71">
        <f>I10*Assumptions!J25/365</f>
        <v>40.278774753431513</v>
      </c>
      <c r="J48" s="40"/>
    </row>
    <row r="49" spans="1:10" ht="17.100000000000001" customHeight="1" x14ac:dyDescent="0.2">
      <c r="A49" s="1" t="s">
        <v>25</v>
      </c>
      <c r="B49" s="59">
        <v>41.393999999999998</v>
      </c>
      <c r="C49" s="59">
        <v>48.84</v>
      </c>
      <c r="D49" s="59">
        <v>45.57</v>
      </c>
      <c r="E49" s="71">
        <f>E10*Assumptions!F26</f>
        <v>48.380673600000001</v>
      </c>
      <c r="F49" s="71">
        <f>F10*Assumptions!G26</f>
        <v>50.79970728</v>
      </c>
      <c r="G49" s="71">
        <f>G10*Assumptions!H26</f>
        <v>53.339692644000003</v>
      </c>
      <c r="H49" s="71">
        <f>H10*Assumptions!I26</f>
        <v>56.006677276200008</v>
      </c>
      <c r="I49" s="71">
        <f>I10*Assumptions!J26</f>
        <v>58.807011140010019</v>
      </c>
      <c r="J49" s="40"/>
    </row>
    <row r="50" spans="1:10" ht="17.100000000000001" customHeight="1" x14ac:dyDescent="0.2">
      <c r="A50" s="1" t="s">
        <v>153</v>
      </c>
      <c r="B50" s="59">
        <v>20</v>
      </c>
      <c r="C50" s="59">
        <v>14</v>
      </c>
      <c r="D50" s="59">
        <v>16.5</v>
      </c>
      <c r="E50" s="71">
        <f ca="1">E103</f>
        <v>54.685375619700309</v>
      </c>
      <c r="F50" s="71">
        <f ca="1">F103</f>
        <v>29.324633765584373</v>
      </c>
      <c r="G50" s="71">
        <f ca="1">G103</f>
        <v>0</v>
      </c>
      <c r="H50" s="71">
        <f ca="1">H103</f>
        <v>0</v>
      </c>
      <c r="I50" s="71">
        <f ca="1">I103</f>
        <v>0</v>
      </c>
      <c r="J50" s="40"/>
    </row>
    <row r="51" spans="1:10" ht="17.100000000000001" customHeight="1" x14ac:dyDescent="0.2">
      <c r="A51" s="1" t="s">
        <v>26</v>
      </c>
      <c r="B51" s="59">
        <f>8.5+0.069</f>
        <v>8.5690000000000008</v>
      </c>
      <c r="C51" s="59">
        <f>25.699-13.937</f>
        <v>11.762000000000002</v>
      </c>
      <c r="D51" s="59">
        <f>22.814-16.44+0.003</f>
        <v>6.3769999999999989</v>
      </c>
      <c r="E51" s="61">
        <f>E10*Assumptions!F27</f>
        <v>9.6761347200000003</v>
      </c>
      <c r="F51" s="61">
        <f>F10*Assumptions!G27</f>
        <v>10.159941455999999</v>
      </c>
      <c r="G51" s="61">
        <f>G10*Assumptions!H27</f>
        <v>10.667938528800001</v>
      </c>
      <c r="H51" s="61">
        <f>H10*Assumptions!I27</f>
        <v>11.201335455240001</v>
      </c>
      <c r="I51" s="61">
        <f>I10*Assumptions!J27</f>
        <v>11.761402228002003</v>
      </c>
      <c r="J51" s="40"/>
    </row>
    <row r="52" spans="1:10" ht="17.100000000000001" customHeight="1" x14ac:dyDescent="0.2">
      <c r="A52" s="4" t="s">
        <v>27</v>
      </c>
      <c r="B52" s="57">
        <f t="shared" ref="B52:I52" si="7">SUM(B48:B51)</f>
        <v>104.387</v>
      </c>
      <c r="C52" s="57">
        <f t="shared" si="7"/>
        <v>110.178</v>
      </c>
      <c r="D52" s="57">
        <f t="shared" si="7"/>
        <v>111.16500000000001</v>
      </c>
      <c r="E52" s="73">
        <f t="shared" ca="1" si="7"/>
        <v>145.87963161093319</v>
      </c>
      <c r="F52" s="73">
        <f t="shared" ca="1" si="7"/>
        <v>125.0786025563789</v>
      </c>
      <c r="G52" s="73">
        <f t="shared" ca="1" si="7"/>
        <v>100.54166723033424</v>
      </c>
      <c r="H52" s="73">
        <f t="shared" ca="1" si="7"/>
        <v>105.56875059185097</v>
      </c>
      <c r="I52" s="73">
        <f t="shared" ca="1" si="7"/>
        <v>110.84718812144354</v>
      </c>
      <c r="J52" s="40"/>
    </row>
    <row r="53" spans="1:10" ht="17.100000000000001" customHeight="1" x14ac:dyDescent="0.2">
      <c r="A53" s="1"/>
      <c r="B53" s="74"/>
      <c r="C53" s="74"/>
      <c r="D53" s="74"/>
      <c r="E53" s="60"/>
      <c r="F53" s="60"/>
      <c r="G53" s="60"/>
      <c r="H53" s="60"/>
      <c r="I53" s="60"/>
      <c r="J53" s="40"/>
    </row>
    <row r="54" spans="1:10" ht="17.100000000000001" customHeight="1" x14ac:dyDescent="0.2">
      <c r="A54" s="1" t="s">
        <v>28</v>
      </c>
      <c r="B54" s="59">
        <v>37</v>
      </c>
      <c r="C54" s="59">
        <v>47.3</v>
      </c>
      <c r="D54" s="59">
        <v>100</v>
      </c>
      <c r="E54" s="60">
        <f>E110</f>
        <v>90</v>
      </c>
      <c r="F54" s="60">
        <f>F110</f>
        <v>80</v>
      </c>
      <c r="G54" s="60">
        <f>G110</f>
        <v>70</v>
      </c>
      <c r="H54" s="60">
        <f>H110</f>
        <v>60</v>
      </c>
      <c r="I54" s="60">
        <f>I110</f>
        <v>50</v>
      </c>
      <c r="J54" s="40"/>
    </row>
    <row r="55" spans="1:10" ht="17.100000000000001" customHeight="1" x14ac:dyDescent="0.2">
      <c r="A55" s="1" t="s">
        <v>29</v>
      </c>
      <c r="B55" s="59">
        <v>21</v>
      </c>
      <c r="C55" s="59">
        <v>17.3</v>
      </c>
      <c r="D55" s="59">
        <v>9.1</v>
      </c>
      <c r="E55" s="62">
        <f>'Financial Statements Model'!E10*Assumptions!F28</f>
        <v>14.514202079999999</v>
      </c>
      <c r="F55" s="62">
        <f>'Financial Statements Model'!F10*Assumptions!G28</f>
        <v>15.239912183999998</v>
      </c>
      <c r="G55" s="62">
        <f>'Financial Statements Model'!G10*Assumptions!H28</f>
        <v>16.001907793200001</v>
      </c>
      <c r="H55" s="62">
        <f>'Financial Statements Model'!H10*Assumptions!I28</f>
        <v>16.802003182860002</v>
      </c>
      <c r="I55" s="62">
        <f>'Financial Statements Model'!I10*Assumptions!J28</f>
        <v>17.642103342003004</v>
      </c>
      <c r="J55" s="40"/>
    </row>
    <row r="56" spans="1:10" ht="17.100000000000001" customHeight="1" x14ac:dyDescent="0.2">
      <c r="A56" s="4" t="s">
        <v>30</v>
      </c>
      <c r="B56" s="57">
        <f t="shared" ref="B56:I56" si="8">B52+B54+B55</f>
        <v>162.387</v>
      </c>
      <c r="C56" s="57">
        <f t="shared" si="8"/>
        <v>174.77800000000002</v>
      </c>
      <c r="D56" s="57">
        <f t="shared" si="8"/>
        <v>220.26500000000001</v>
      </c>
      <c r="E56" s="73">
        <f t="shared" ca="1" si="8"/>
        <v>250.39383369093318</v>
      </c>
      <c r="F56" s="73">
        <f t="shared" ca="1" si="8"/>
        <v>220.31851474037887</v>
      </c>
      <c r="G56" s="73">
        <f t="shared" ca="1" si="8"/>
        <v>186.54357502353423</v>
      </c>
      <c r="H56" s="73">
        <f t="shared" ca="1" si="8"/>
        <v>182.37075377471098</v>
      </c>
      <c r="I56" s="73">
        <f t="shared" ca="1" si="8"/>
        <v>178.48929146344653</v>
      </c>
      <c r="J56" s="40"/>
    </row>
    <row r="57" spans="1:10" ht="17.100000000000001" customHeight="1" x14ac:dyDescent="0.2">
      <c r="A57" s="1"/>
      <c r="B57" s="74"/>
      <c r="C57" s="74"/>
      <c r="D57" s="74"/>
      <c r="E57" s="60"/>
      <c r="F57" s="60"/>
      <c r="G57" s="60"/>
      <c r="H57" s="60"/>
      <c r="I57" s="60"/>
      <c r="J57" s="40"/>
    </row>
    <row r="58" spans="1:10" ht="17.100000000000001" customHeight="1" x14ac:dyDescent="0.2">
      <c r="A58" s="1" t="s">
        <v>31</v>
      </c>
      <c r="B58" s="59">
        <v>164.84899999999999</v>
      </c>
      <c r="C58" s="59">
        <v>247.49000000000012</v>
      </c>
      <c r="D58" s="59">
        <v>171.00399999999999</v>
      </c>
      <c r="E58" s="75">
        <f>D58</f>
        <v>171.00399999999999</v>
      </c>
      <c r="F58" s="75">
        <f>E58</f>
        <v>171.00399999999999</v>
      </c>
      <c r="G58" s="75">
        <f>F58</f>
        <v>171.00399999999999</v>
      </c>
      <c r="H58" s="75">
        <f>G58</f>
        <v>171.00399999999999</v>
      </c>
      <c r="I58" s="75">
        <f>H58</f>
        <v>171.00399999999999</v>
      </c>
      <c r="J58" s="40"/>
    </row>
    <row r="59" spans="1:10" ht="17.100000000000001" customHeight="1" x14ac:dyDescent="0.2">
      <c r="A59" s="1" t="s">
        <v>32</v>
      </c>
      <c r="B59" s="59">
        <v>129.34899999999999</v>
      </c>
      <c r="C59" s="59">
        <v>199.65699999999998</v>
      </c>
      <c r="D59" s="59">
        <v>299.50799999999992</v>
      </c>
      <c r="E59" s="61">
        <f ca="1">D59+E24-E29</f>
        <v>375.44216071660111</v>
      </c>
      <c r="F59" s="61">
        <f t="shared" ref="F59:I59" ca="1" si="9">E59+F24-F29</f>
        <v>452.88749960503208</v>
      </c>
      <c r="G59" s="61">
        <f t="shared" ca="1" si="9"/>
        <v>532.87351270173087</v>
      </c>
      <c r="H59" s="61">
        <f t="shared" ca="1" si="9"/>
        <v>615.39269180981785</v>
      </c>
      <c r="I59" s="61">
        <f t="shared" ca="1" si="9"/>
        <v>700.35998106906868</v>
      </c>
      <c r="J59" s="40"/>
    </row>
    <row r="60" spans="1:10" ht="17.100000000000001" customHeight="1" x14ac:dyDescent="0.2">
      <c r="A60" s="4" t="s">
        <v>33</v>
      </c>
      <c r="B60" s="57">
        <f>B58+B59</f>
        <v>294.19799999999998</v>
      </c>
      <c r="C60" s="57">
        <f>C58+C59</f>
        <v>447.14700000000011</v>
      </c>
      <c r="D60" s="57">
        <f>D58+D59</f>
        <v>470.51199999999994</v>
      </c>
      <c r="E60" s="73">
        <f ca="1">SUM(E58:E59)</f>
        <v>546.44616071660107</v>
      </c>
      <c r="F60" s="73">
        <f ca="1">SUM(F58:F59)</f>
        <v>623.8914996050321</v>
      </c>
      <c r="G60" s="73">
        <f ca="1">SUM(G58:G59)</f>
        <v>703.87751270173089</v>
      </c>
      <c r="H60" s="73">
        <f ca="1">SUM(H58:H59)</f>
        <v>786.39669180981787</v>
      </c>
      <c r="I60" s="73">
        <f ca="1">SUM(I58:I59)</f>
        <v>871.3639810690687</v>
      </c>
      <c r="J60" s="40"/>
    </row>
    <row r="61" spans="1:10" ht="17.100000000000001" customHeight="1" x14ac:dyDescent="0.2">
      <c r="A61" s="1"/>
      <c r="B61" s="74"/>
      <c r="C61" s="74"/>
      <c r="D61" s="74"/>
      <c r="E61" s="60"/>
      <c r="F61" s="60"/>
      <c r="G61" s="60"/>
      <c r="H61" s="60"/>
      <c r="I61" s="60"/>
      <c r="J61" s="40"/>
    </row>
    <row r="62" spans="1:10" ht="17.100000000000001" customHeight="1" x14ac:dyDescent="0.2">
      <c r="A62" s="4" t="s">
        <v>34</v>
      </c>
      <c r="B62" s="76">
        <f>B60+B56</f>
        <v>456.58499999999998</v>
      </c>
      <c r="C62" s="76">
        <f>C60+C56</f>
        <v>621.92500000000018</v>
      </c>
      <c r="D62" s="76">
        <f>D60+D56</f>
        <v>690.77699999999993</v>
      </c>
      <c r="E62" s="77">
        <f ca="1">E56+E60</f>
        <v>796.83999440753428</v>
      </c>
      <c r="F62" s="77">
        <f ca="1">F56+F60</f>
        <v>844.21001434541097</v>
      </c>
      <c r="G62" s="77">
        <f ca="1">G56+G60</f>
        <v>890.42108772526512</v>
      </c>
      <c r="H62" s="77">
        <f ca="1">H56+H60</f>
        <v>968.76744558452879</v>
      </c>
      <c r="I62" s="77">
        <f ca="1">I56+I60</f>
        <v>1049.8532725325153</v>
      </c>
      <c r="J62" s="40"/>
    </row>
    <row r="63" spans="1:10" ht="17.100000000000001" customHeight="1" x14ac:dyDescent="0.2">
      <c r="A63" s="10" t="s">
        <v>35</v>
      </c>
      <c r="B63" s="78">
        <f t="shared" ref="B63:I63" si="10">B62-B45</f>
        <v>0</v>
      </c>
      <c r="C63" s="78">
        <f t="shared" si="10"/>
        <v>0</v>
      </c>
      <c r="D63" s="78">
        <f t="shared" si="10"/>
        <v>0</v>
      </c>
      <c r="E63" s="79">
        <f t="shared" ca="1" si="10"/>
        <v>0</v>
      </c>
      <c r="F63" s="79">
        <f t="shared" ca="1" si="10"/>
        <v>0</v>
      </c>
      <c r="G63" s="79">
        <f t="shared" ca="1" si="10"/>
        <v>0</v>
      </c>
      <c r="H63" s="79">
        <f t="shared" ca="1" si="10"/>
        <v>0</v>
      </c>
      <c r="I63" s="79">
        <f t="shared" ca="1" si="10"/>
        <v>0</v>
      </c>
      <c r="J63" s="40"/>
    </row>
    <row r="64" spans="1:10" ht="17.100000000000001" customHeight="1" x14ac:dyDescent="0.2">
      <c r="E64" s="44"/>
      <c r="F64" s="44"/>
      <c r="G64" s="44"/>
      <c r="H64" s="44"/>
      <c r="I64" s="44"/>
      <c r="J64" s="40"/>
    </row>
    <row r="65" spans="1:10" ht="17.100000000000001" customHeight="1" x14ac:dyDescent="0.2">
      <c r="A65" s="12"/>
      <c r="E65" s="44"/>
      <c r="F65" s="44"/>
      <c r="G65" s="44"/>
      <c r="H65" s="44"/>
      <c r="I65" s="44"/>
      <c r="J65" s="40"/>
    </row>
    <row r="66" spans="1:10" ht="17.100000000000001" customHeight="1" x14ac:dyDescent="0.2">
      <c r="A66" s="14" t="s">
        <v>69</v>
      </c>
      <c r="B66" s="15">
        <f>B7</f>
        <v>2018</v>
      </c>
      <c r="C66" s="15">
        <f>C7</f>
        <v>2019</v>
      </c>
      <c r="D66" s="15">
        <f>D7</f>
        <v>2020</v>
      </c>
      <c r="E66" s="45"/>
      <c r="F66" s="45"/>
      <c r="G66" s="45"/>
      <c r="H66" s="45"/>
      <c r="I66" s="45"/>
      <c r="J66" s="40"/>
    </row>
    <row r="67" spans="1:10" ht="17.100000000000001" customHeight="1" x14ac:dyDescent="0.2">
      <c r="A67" s="12"/>
      <c r="E67" s="44"/>
      <c r="F67" s="44"/>
      <c r="G67" s="44"/>
      <c r="H67" s="44"/>
      <c r="I67" s="44"/>
      <c r="J67" s="40"/>
    </row>
    <row r="68" spans="1:10" ht="17.100000000000001" customHeight="1" x14ac:dyDescent="0.2">
      <c r="A68" s="12" t="s">
        <v>70</v>
      </c>
      <c r="B68" s="112" t="s">
        <v>163</v>
      </c>
      <c r="C68" s="112"/>
      <c r="D68" s="112"/>
      <c r="E68" s="80">
        <f ca="1">E24</f>
        <v>101.24554762213489</v>
      </c>
      <c r="F68" s="80">
        <f ca="1">F24</f>
        <v>103.26045185124133</v>
      </c>
      <c r="G68" s="80">
        <f ca="1">G24</f>
        <v>106.64801746226505</v>
      </c>
      <c r="H68" s="80">
        <f ca="1">H24</f>
        <v>110.02557214411607</v>
      </c>
      <c r="I68" s="80">
        <f ca="1">I24</f>
        <v>113.28971901233444</v>
      </c>
      <c r="J68" s="40"/>
    </row>
    <row r="69" spans="1:10" ht="17.100000000000001" customHeight="1" x14ac:dyDescent="0.2">
      <c r="A69" s="12" t="s">
        <v>71</v>
      </c>
      <c r="B69" s="112"/>
      <c r="C69" s="112"/>
      <c r="D69" s="112"/>
      <c r="E69" s="80">
        <f>E14</f>
        <v>60.843767250000006</v>
      </c>
      <c r="F69" s="80">
        <f>F14</f>
        <v>68.252057895000007</v>
      </c>
      <c r="G69" s="80">
        <f>G14</f>
        <v>76.030763072250011</v>
      </c>
      <c r="H69" s="80">
        <f>H14</f>
        <v>84.198403508362517</v>
      </c>
      <c r="I69" s="80">
        <f>I14</f>
        <v>92.774425966280646</v>
      </c>
      <c r="J69" s="40"/>
    </row>
    <row r="70" spans="1:10" ht="17.100000000000001" customHeight="1" x14ac:dyDescent="0.2">
      <c r="A70" s="12"/>
      <c r="B70" s="112"/>
      <c r="C70" s="112"/>
      <c r="D70" s="112"/>
      <c r="E70" s="80"/>
      <c r="F70" s="80"/>
      <c r="G70" s="80"/>
      <c r="H70" s="80"/>
      <c r="I70" s="80"/>
      <c r="J70" s="40"/>
    </row>
    <row r="71" spans="1:10" ht="17.100000000000001" customHeight="1" x14ac:dyDescent="0.2">
      <c r="A71" s="31" t="s">
        <v>72</v>
      </c>
      <c r="B71" s="112"/>
      <c r="C71" s="112"/>
      <c r="D71" s="112"/>
      <c r="E71" s="80"/>
      <c r="F71" s="80"/>
      <c r="G71" s="80"/>
      <c r="H71" s="80"/>
      <c r="I71" s="80"/>
      <c r="J71" s="40"/>
    </row>
    <row r="72" spans="1:10" ht="17.100000000000001" customHeight="1" x14ac:dyDescent="0.2">
      <c r="A72" s="12" t="str">
        <f>A35</f>
        <v>Accounts Receivable</v>
      </c>
      <c r="B72" s="112"/>
      <c r="C72" s="112"/>
      <c r="D72" s="112"/>
      <c r="E72" s="87">
        <f t="shared" ref="E72:I74" si="11">D35-E35</f>
        <v>-13.031349315068489</v>
      </c>
      <c r="F72" s="87">
        <f t="shared" si="11"/>
        <v>-3.4518174657534217</v>
      </c>
      <c r="G72" s="87">
        <f t="shared" si="11"/>
        <v>-3.6244083390410964</v>
      </c>
      <c r="H72" s="87">
        <f t="shared" si="11"/>
        <v>-3.8056287559931548</v>
      </c>
      <c r="I72" s="87">
        <f t="shared" si="11"/>
        <v>-3.9959101937928239</v>
      </c>
      <c r="J72" s="40"/>
    </row>
    <row r="73" spans="1:10" ht="17.100000000000001" customHeight="1" x14ac:dyDescent="0.2">
      <c r="A73" s="12" t="str">
        <f>A36</f>
        <v>Inventory</v>
      </c>
      <c r="B73" s="112"/>
      <c r="C73" s="112"/>
      <c r="D73" s="112"/>
      <c r="E73" s="87">
        <f t="shared" si="11"/>
        <v>-9.812895342465751</v>
      </c>
      <c r="F73" s="87">
        <f t="shared" si="11"/>
        <v>-3.313744767123282</v>
      </c>
      <c r="G73" s="87">
        <f t="shared" si="11"/>
        <v>-3.4794320054794667</v>
      </c>
      <c r="H73" s="87">
        <f t="shared" si="11"/>
        <v>-3.6534036057534252</v>
      </c>
      <c r="I73" s="87">
        <f t="shared" si="11"/>
        <v>-3.8360737860410978</v>
      </c>
      <c r="J73" s="40"/>
    </row>
    <row r="74" spans="1:10" ht="17.100000000000001" customHeight="1" x14ac:dyDescent="0.2">
      <c r="A74" s="12" t="str">
        <f>A37</f>
        <v>Other Current Assets</v>
      </c>
      <c r="B74" s="112"/>
      <c r="C74" s="112"/>
      <c r="D74" s="112"/>
      <c r="E74" s="87">
        <f t="shared" si="11"/>
        <v>-3.2156140000000022</v>
      </c>
      <c r="F74" s="87">
        <f t="shared" si="11"/>
        <v>-1.0079306999999993</v>
      </c>
      <c r="G74" s="87">
        <f t="shared" si="11"/>
        <v>-1.0583272350000037</v>
      </c>
      <c r="H74" s="87">
        <f t="shared" si="11"/>
        <v>-1.1112435967500005</v>
      </c>
      <c r="I74" s="87">
        <f t="shared" si="11"/>
        <v>-1.166805776587502</v>
      </c>
      <c r="J74" s="40"/>
    </row>
    <row r="75" spans="1:10" ht="17.100000000000001" customHeight="1" x14ac:dyDescent="0.2">
      <c r="A75" s="12" t="str">
        <f>A44</f>
        <v>Other Long-Term Operating Assets</v>
      </c>
      <c r="B75" s="112"/>
      <c r="C75" s="112"/>
      <c r="D75" s="112"/>
      <c r="E75" s="87">
        <f>D44-E44</f>
        <v>16.911771999999999</v>
      </c>
      <c r="F75" s="87">
        <f>E44-F44</f>
        <v>-2.0158613999999986</v>
      </c>
      <c r="G75" s="87">
        <f>F44-G44</f>
        <v>-2.1166544700000074</v>
      </c>
      <c r="H75" s="87">
        <f>G44-H44</f>
        <v>-2.222487193500001</v>
      </c>
      <c r="I75" s="87">
        <f>H44-I44</f>
        <v>-2.3336115531750039</v>
      </c>
      <c r="J75" s="40"/>
    </row>
    <row r="76" spans="1:10" ht="17.100000000000001" customHeight="1" x14ac:dyDescent="0.2">
      <c r="A76" s="12" t="str">
        <f>A48</f>
        <v>Accounts Payable</v>
      </c>
      <c r="B76" s="112"/>
      <c r="C76" s="112"/>
      <c r="D76" s="112"/>
      <c r="E76" s="87">
        <f t="shared" ref="E76:I77" si="12">E48-D48</f>
        <v>-9.5805523287671264</v>
      </c>
      <c r="F76" s="80">
        <f t="shared" si="12"/>
        <v>1.656872383561641</v>
      </c>
      <c r="G76" s="80">
        <f t="shared" si="12"/>
        <v>1.7397160027397334</v>
      </c>
      <c r="H76" s="80">
        <f t="shared" si="12"/>
        <v>1.8267018028767126</v>
      </c>
      <c r="I76" s="80">
        <f t="shared" si="12"/>
        <v>1.9180368930205489</v>
      </c>
      <c r="J76" s="40"/>
    </row>
    <row r="77" spans="1:10" ht="17.100000000000001" customHeight="1" x14ac:dyDescent="0.2">
      <c r="A77" s="12" t="str">
        <f>A49</f>
        <v>Accrued Exp.</v>
      </c>
      <c r="B77" s="112"/>
      <c r="C77" s="112"/>
      <c r="D77" s="112"/>
      <c r="E77" s="80">
        <f t="shared" si="12"/>
        <v>2.8106736000000012</v>
      </c>
      <c r="F77" s="80">
        <f t="shared" si="12"/>
        <v>2.4190336799999983</v>
      </c>
      <c r="G77" s="80">
        <f t="shared" si="12"/>
        <v>2.5399853640000032</v>
      </c>
      <c r="H77" s="80">
        <f t="shared" si="12"/>
        <v>2.6669846322000055</v>
      </c>
      <c r="I77" s="80">
        <f t="shared" si="12"/>
        <v>2.8003338638100104</v>
      </c>
      <c r="J77" s="40"/>
    </row>
    <row r="78" spans="1:10" ht="17.100000000000001" customHeight="1" x14ac:dyDescent="0.2">
      <c r="A78" s="12" t="str">
        <f>A51</f>
        <v>Other Current Liabilities</v>
      </c>
      <c r="B78" s="112"/>
      <c r="C78" s="112"/>
      <c r="D78" s="112"/>
      <c r="E78" s="80">
        <f>E51-D51</f>
        <v>3.2991347200000014</v>
      </c>
      <c r="F78" s="80">
        <f>F51-E51</f>
        <v>0.48380673599999824</v>
      </c>
      <c r="G78" s="80">
        <f>G51-F51</f>
        <v>0.50799707280000206</v>
      </c>
      <c r="H78" s="80">
        <f>H51-G51</f>
        <v>0.53339692644000003</v>
      </c>
      <c r="I78" s="80">
        <f>I51-H51</f>
        <v>0.56006677276200278</v>
      </c>
      <c r="J78" s="40"/>
    </row>
    <row r="79" spans="1:10" ht="17.100000000000001" customHeight="1" x14ac:dyDescent="0.2">
      <c r="A79" s="12" t="str">
        <f>A55</f>
        <v>Other Long Term Operating Liabilities</v>
      </c>
      <c r="B79" s="112"/>
      <c r="C79" s="112"/>
      <c r="D79" s="112"/>
      <c r="E79" s="80">
        <f>E55-D55</f>
        <v>5.414202079999999</v>
      </c>
      <c r="F79" s="80">
        <f>F55-E55</f>
        <v>0.72571010399999913</v>
      </c>
      <c r="G79" s="80">
        <f>G55-F55</f>
        <v>0.76199560920000309</v>
      </c>
      <c r="H79" s="80">
        <f>H55-G55</f>
        <v>0.80009538966000093</v>
      </c>
      <c r="I79" s="80">
        <f>I55-H55</f>
        <v>0.8401001591430024</v>
      </c>
      <c r="J79" s="40"/>
    </row>
    <row r="80" spans="1:10" ht="17.100000000000001" customHeight="1" x14ac:dyDescent="0.2">
      <c r="A80" s="13" t="s">
        <v>80</v>
      </c>
      <c r="B80" s="112"/>
      <c r="C80" s="112"/>
      <c r="D80" s="112"/>
      <c r="E80" s="81">
        <f ca="1">SUM(E68:E79)</f>
        <v>154.88468628583354</v>
      </c>
      <c r="F80" s="81">
        <f ca="1">SUM(F68:F79)</f>
        <v>167.00857831692622</v>
      </c>
      <c r="G80" s="81">
        <f ca="1">SUM(G68:G79)</f>
        <v>177.9496525337342</v>
      </c>
      <c r="H80" s="81">
        <f ca="1">SUM(H68:H79)</f>
        <v>189.25839125165874</v>
      </c>
      <c r="I80" s="81">
        <f ca="1">SUM(I68:I79)</f>
        <v>200.85028135775423</v>
      </c>
      <c r="J80" s="40"/>
    </row>
    <row r="81" spans="1:10" ht="17.100000000000001" customHeight="1" x14ac:dyDescent="0.2">
      <c r="A81" s="12"/>
      <c r="B81" s="112"/>
      <c r="C81" s="112"/>
      <c r="D81" s="112"/>
      <c r="E81" s="80"/>
      <c r="F81" s="80"/>
      <c r="G81" s="80"/>
      <c r="H81" s="80"/>
      <c r="I81" s="80"/>
      <c r="J81" s="40"/>
    </row>
    <row r="82" spans="1:10" ht="17.100000000000001" customHeight="1" x14ac:dyDescent="0.2">
      <c r="A82" s="12" t="s">
        <v>73</v>
      </c>
      <c r="B82" s="112"/>
      <c r="C82" s="112"/>
      <c r="D82" s="112"/>
      <c r="E82" s="87">
        <f>-E8*Assumptions!F21</f>
        <v>-251.982675</v>
      </c>
      <c r="F82" s="87">
        <f>-F8*Assumptions!G21</f>
        <v>-105.8327235</v>
      </c>
      <c r="G82" s="87">
        <f>-G8*Assumptions!H21</f>
        <v>-111.12435967500001</v>
      </c>
      <c r="H82" s="87">
        <f>-H8*Assumptions!I21</f>
        <v>-116.68057765875001</v>
      </c>
      <c r="I82" s="87">
        <f>-I8*Assumptions!J21</f>
        <v>-122.51460654168753</v>
      </c>
      <c r="J82" s="40"/>
    </row>
    <row r="83" spans="1:10" ht="17.100000000000001" customHeight="1" x14ac:dyDescent="0.2">
      <c r="A83" s="12" t="s">
        <v>60</v>
      </c>
      <c r="B83" s="112"/>
      <c r="C83" s="112"/>
      <c r="D83" s="112"/>
      <c r="E83" s="87">
        <f>Assumptions!F22</f>
        <v>0</v>
      </c>
      <c r="F83" s="87">
        <f>Assumptions!G22</f>
        <v>0</v>
      </c>
      <c r="G83" s="87">
        <f>Assumptions!H22</f>
        <v>0</v>
      </c>
      <c r="H83" s="87">
        <f>Assumptions!I22</f>
        <v>0</v>
      </c>
      <c r="I83" s="87">
        <f>Assumptions!J22</f>
        <v>0</v>
      </c>
      <c r="J83" s="40"/>
    </row>
    <row r="84" spans="1:10" ht="17.100000000000001" customHeight="1" x14ac:dyDescent="0.2">
      <c r="A84" s="13" t="s">
        <v>81</v>
      </c>
      <c r="B84" s="112"/>
      <c r="C84" s="112"/>
      <c r="D84" s="112"/>
      <c r="E84" s="88">
        <f>SUM(E82:E83)</f>
        <v>-251.982675</v>
      </c>
      <c r="F84" s="88">
        <f>SUM(F82:F83)</f>
        <v>-105.8327235</v>
      </c>
      <c r="G84" s="88">
        <f>SUM(G82:G83)</f>
        <v>-111.12435967500001</v>
      </c>
      <c r="H84" s="88">
        <f>SUM(H82:H83)</f>
        <v>-116.68057765875001</v>
      </c>
      <c r="I84" s="88">
        <f>SUM(I82:I83)</f>
        <v>-122.51460654168753</v>
      </c>
      <c r="J84" s="40"/>
    </row>
    <row r="85" spans="1:10" ht="17.100000000000001" customHeight="1" x14ac:dyDescent="0.2">
      <c r="A85" s="12"/>
      <c r="B85" s="112"/>
      <c r="C85" s="112"/>
      <c r="D85" s="112"/>
      <c r="E85" s="87"/>
      <c r="F85" s="87"/>
      <c r="G85" s="87"/>
      <c r="H85" s="87"/>
      <c r="I85" s="87"/>
      <c r="J85" s="40"/>
    </row>
    <row r="86" spans="1:10" ht="17.100000000000001" customHeight="1" x14ac:dyDescent="0.2">
      <c r="A86" s="12" t="s">
        <v>74</v>
      </c>
      <c r="B86" s="112"/>
      <c r="C86" s="112"/>
      <c r="D86" s="112"/>
      <c r="E86" s="87">
        <f ca="1">E50-D50</f>
        <v>38.185375619700309</v>
      </c>
      <c r="F86" s="87">
        <f ca="1">F50-E50</f>
        <v>-25.360741854115936</v>
      </c>
      <c r="G86" s="87">
        <f ca="1">G50-F50</f>
        <v>-29.324633765584373</v>
      </c>
      <c r="H86" s="87">
        <f ca="1">H50-G50</f>
        <v>0</v>
      </c>
      <c r="I86" s="87">
        <f ca="1">I50-H50</f>
        <v>0</v>
      </c>
      <c r="J86" s="40"/>
    </row>
    <row r="87" spans="1:10" ht="17.100000000000001" customHeight="1" x14ac:dyDescent="0.2">
      <c r="A87" s="12" t="s">
        <v>75</v>
      </c>
      <c r="B87" s="112"/>
      <c r="C87" s="112"/>
      <c r="D87" s="112"/>
      <c r="E87" s="87">
        <f>E54-D54</f>
        <v>-10</v>
      </c>
      <c r="F87" s="87">
        <f>F54-E54</f>
        <v>-10</v>
      </c>
      <c r="G87" s="87">
        <f>G54-F54</f>
        <v>-10</v>
      </c>
      <c r="H87" s="87">
        <f>H54-G54</f>
        <v>-10</v>
      </c>
      <c r="I87" s="87">
        <f>I54-H54</f>
        <v>-10</v>
      </c>
      <c r="J87" s="40"/>
    </row>
    <row r="88" spans="1:10" ht="17.100000000000001" customHeight="1" x14ac:dyDescent="0.2">
      <c r="A88" s="12" t="s">
        <v>76</v>
      </c>
      <c r="B88" s="112"/>
      <c r="C88" s="112"/>
      <c r="D88" s="112"/>
      <c r="E88" s="87">
        <f ca="1">-E29</f>
        <v>-25.311386905533723</v>
      </c>
      <c r="F88" s="87">
        <f t="shared" ref="F88:I88" ca="1" si="13">-F29</f>
        <v>-25.815112962810332</v>
      </c>
      <c r="G88" s="87">
        <f t="shared" ca="1" si="13"/>
        <v>-26.662004365566261</v>
      </c>
      <c r="H88" s="87">
        <f t="shared" ca="1" si="13"/>
        <v>-27.506393036029017</v>
      </c>
      <c r="I88" s="87">
        <f t="shared" ca="1" si="13"/>
        <v>-28.322429753083611</v>
      </c>
      <c r="J88" s="40"/>
    </row>
    <row r="89" spans="1:10" ht="17.100000000000001" customHeight="1" x14ac:dyDescent="0.2">
      <c r="A89" s="13" t="s">
        <v>82</v>
      </c>
      <c r="B89" s="112"/>
      <c r="C89" s="112"/>
      <c r="D89" s="112"/>
      <c r="E89" s="88">
        <f ca="1">SUM(E86:E88)</f>
        <v>2.8739887141665861</v>
      </c>
      <c r="F89" s="88">
        <f ca="1">SUM(F86:F88)</f>
        <v>-61.175854816926268</v>
      </c>
      <c r="G89" s="88">
        <f ca="1">SUM(G86:G88)</f>
        <v>-65.986638131150642</v>
      </c>
      <c r="H89" s="88">
        <f ca="1">SUM(H86:H88)</f>
        <v>-37.506393036029017</v>
      </c>
      <c r="I89" s="88">
        <f ca="1">SUM(I86:I88)</f>
        <v>-38.322429753083611</v>
      </c>
      <c r="J89" s="40"/>
    </row>
    <row r="90" spans="1:10" ht="17.100000000000001" customHeight="1" x14ac:dyDescent="0.2">
      <c r="A90" s="13"/>
      <c r="B90" s="112"/>
      <c r="C90" s="112"/>
      <c r="D90" s="112"/>
      <c r="E90" s="82"/>
      <c r="F90" s="80"/>
      <c r="G90" s="80"/>
      <c r="H90" s="80"/>
      <c r="I90" s="80"/>
      <c r="J90" s="40"/>
    </row>
    <row r="91" spans="1:10" ht="17.100000000000001" customHeight="1" x14ac:dyDescent="0.2">
      <c r="A91" s="13" t="s">
        <v>83</v>
      </c>
      <c r="B91" s="112"/>
      <c r="C91" s="112"/>
      <c r="D91" s="112"/>
      <c r="E91" s="87">
        <f ca="1">E80+E84+E89</f>
        <v>-94.223999999999876</v>
      </c>
      <c r="F91" s="87">
        <f ca="1">F80+F84+F89</f>
        <v>0</v>
      </c>
      <c r="G91" s="87">
        <f ca="1">G80+G84+G89</f>
        <v>0.83865472758354542</v>
      </c>
      <c r="H91" s="87">
        <f ca="1">H80+H84+H89</f>
        <v>35.071420556879708</v>
      </c>
      <c r="I91" s="87">
        <f ca="1">I80+I84+I89</f>
        <v>40.013245062983088</v>
      </c>
      <c r="J91" s="40"/>
    </row>
    <row r="92" spans="1:10" ht="17.100000000000001" customHeight="1" x14ac:dyDescent="0.2">
      <c r="A92" s="13"/>
      <c r="B92" s="112"/>
      <c r="C92" s="112"/>
      <c r="D92" s="112"/>
      <c r="E92" s="87"/>
      <c r="F92" s="87"/>
      <c r="G92" s="87"/>
      <c r="H92" s="87"/>
      <c r="I92" s="87"/>
      <c r="J92" s="40"/>
    </row>
    <row r="93" spans="1:10" ht="17.100000000000001" customHeight="1" x14ac:dyDescent="0.2">
      <c r="A93" s="12" t="s">
        <v>78</v>
      </c>
      <c r="B93" s="112"/>
      <c r="C93" s="112"/>
      <c r="D93" s="112"/>
      <c r="E93" s="87">
        <f>D34</f>
        <v>94.223999999999961</v>
      </c>
      <c r="F93" s="87">
        <f ca="1">E34</f>
        <v>0</v>
      </c>
      <c r="G93" s="87">
        <f ca="1">F34</f>
        <v>0</v>
      </c>
      <c r="H93" s="87">
        <f ca="1">G34</f>
        <v>0.83865472758354542</v>
      </c>
      <c r="I93" s="87">
        <f ca="1">H34</f>
        <v>35.910075284463254</v>
      </c>
      <c r="J93" s="40"/>
    </row>
    <row r="94" spans="1:10" ht="17.100000000000001" customHeight="1" x14ac:dyDescent="0.2">
      <c r="A94" s="12" t="s">
        <v>79</v>
      </c>
      <c r="B94" s="112"/>
      <c r="C94" s="112"/>
      <c r="D94" s="112"/>
      <c r="E94" s="87">
        <f ca="1">E93+E91</f>
        <v>0</v>
      </c>
      <c r="F94" s="87">
        <f ca="1">F93+F91</f>
        <v>0</v>
      </c>
      <c r="G94" s="87">
        <f ca="1">G93+G91</f>
        <v>0.83865472758354542</v>
      </c>
      <c r="H94" s="87">
        <f ca="1">H93+H91</f>
        <v>35.910075284463254</v>
      </c>
      <c r="I94" s="87">
        <f ca="1">I93+I91</f>
        <v>75.923320347446349</v>
      </c>
      <c r="J94" s="40"/>
    </row>
    <row r="95" spans="1:10" ht="17.100000000000001" customHeight="1" x14ac:dyDescent="0.2">
      <c r="A95" s="12"/>
      <c r="E95" s="80"/>
      <c r="F95" s="80"/>
      <c r="G95" s="80"/>
      <c r="H95" s="80"/>
      <c r="I95" s="80"/>
      <c r="J95" s="40"/>
    </row>
    <row r="96" spans="1:10" ht="17.100000000000001" customHeight="1" x14ac:dyDescent="0.2">
      <c r="A96" s="14" t="s">
        <v>77</v>
      </c>
      <c r="B96" s="14">
        <f>B7</f>
        <v>2018</v>
      </c>
      <c r="C96" s="14">
        <f>C7</f>
        <v>2019</v>
      </c>
      <c r="D96" s="14">
        <f>D7</f>
        <v>2020</v>
      </c>
      <c r="E96" s="83"/>
      <c r="F96" s="83"/>
      <c r="G96" s="83"/>
      <c r="H96" s="83"/>
      <c r="I96" s="83"/>
      <c r="J96" s="40"/>
    </row>
    <row r="97" spans="1:10" ht="17.100000000000001" customHeight="1" x14ac:dyDescent="0.2">
      <c r="A97" s="12"/>
      <c r="E97" s="80"/>
      <c r="F97" s="80"/>
      <c r="G97" s="80"/>
      <c r="H97" s="80"/>
      <c r="I97" s="80"/>
      <c r="J97" s="40"/>
    </row>
    <row r="98" spans="1:10" ht="17.100000000000001" customHeight="1" x14ac:dyDescent="0.2">
      <c r="A98" s="21" t="s">
        <v>84</v>
      </c>
      <c r="B98" s="22"/>
      <c r="E98" s="89">
        <f ca="1">E94-E86</f>
        <v>-38.185375619700309</v>
      </c>
      <c r="F98" s="89">
        <f t="shared" ref="F98:I98" ca="1" si="14">F94-F86</f>
        <v>25.360741854115936</v>
      </c>
      <c r="G98" s="89">
        <f t="shared" ca="1" si="14"/>
        <v>30.163288493167919</v>
      </c>
      <c r="H98" s="89">
        <f t="shared" ca="1" si="14"/>
        <v>35.910075284463254</v>
      </c>
      <c r="I98" s="89">
        <f t="shared" ca="1" si="14"/>
        <v>75.923320347446349</v>
      </c>
      <c r="J98" s="40"/>
    </row>
    <row r="99" spans="1:10" ht="17.100000000000001" customHeight="1" x14ac:dyDescent="0.2">
      <c r="A99" s="23"/>
      <c r="B99" s="24"/>
      <c r="E99" s="90"/>
      <c r="F99" s="90"/>
      <c r="G99" s="90"/>
      <c r="H99" s="90"/>
      <c r="I99" s="90"/>
      <c r="J99" s="40"/>
    </row>
    <row r="100" spans="1:10" ht="17.100000000000001" customHeight="1" x14ac:dyDescent="0.2">
      <c r="A100" s="25" t="s">
        <v>85</v>
      </c>
      <c r="B100" s="108" t="s">
        <v>164</v>
      </c>
      <c r="C100" s="108"/>
      <c r="D100" s="108"/>
      <c r="E100" s="90"/>
      <c r="F100" s="90"/>
      <c r="G100" s="90"/>
      <c r="H100" s="90"/>
      <c r="I100" s="90"/>
      <c r="J100" s="40"/>
    </row>
    <row r="101" spans="1:10" ht="17.100000000000001" customHeight="1" x14ac:dyDescent="0.2">
      <c r="A101" s="20" t="s">
        <v>86</v>
      </c>
      <c r="B101" s="108"/>
      <c r="C101" s="108"/>
      <c r="D101" s="108"/>
      <c r="E101" s="90">
        <f>D50</f>
        <v>16.5</v>
      </c>
      <c r="F101" s="90">
        <f t="shared" ref="F101:I101" ca="1" si="15">E50</f>
        <v>54.685375619700309</v>
      </c>
      <c r="G101" s="90">
        <f t="shared" ca="1" si="15"/>
        <v>29.324633765584373</v>
      </c>
      <c r="H101" s="90">
        <f t="shared" ca="1" si="15"/>
        <v>0</v>
      </c>
      <c r="I101" s="90">
        <f t="shared" ca="1" si="15"/>
        <v>0</v>
      </c>
      <c r="J101" s="40"/>
    </row>
    <row r="102" spans="1:10" ht="17.100000000000001" customHeight="1" x14ac:dyDescent="0.2">
      <c r="A102" s="20" t="s">
        <v>87</v>
      </c>
      <c r="B102" s="108"/>
      <c r="C102" s="108"/>
      <c r="D102" s="108"/>
      <c r="E102" s="90">
        <f ca="1">-MIN(E98,E101)</f>
        <v>38.185375619700309</v>
      </c>
      <c r="F102" s="90">
        <f t="shared" ref="F102:H102" ca="1" si="16">-MIN(F98,F101)</f>
        <v>-25.360741854115936</v>
      </c>
      <c r="G102" s="90">
        <f t="shared" ca="1" si="16"/>
        <v>-29.324633765584373</v>
      </c>
      <c r="H102" s="90">
        <f t="shared" ca="1" si="16"/>
        <v>0</v>
      </c>
      <c r="I102" s="90">
        <f t="shared" ref="I102" ca="1" si="17">-MIN(I94,I101)</f>
        <v>0</v>
      </c>
      <c r="J102" s="40"/>
    </row>
    <row r="103" spans="1:10" ht="17.100000000000001" customHeight="1" x14ac:dyDescent="0.2">
      <c r="A103" s="20" t="s">
        <v>88</v>
      </c>
      <c r="B103" s="108"/>
      <c r="C103" s="108"/>
      <c r="D103" s="108"/>
      <c r="E103" s="90">
        <f ca="1">E101+E102</f>
        <v>54.685375619700309</v>
      </c>
      <c r="F103" s="90">
        <f t="shared" ref="F103:I103" ca="1" si="18">F101+F102</f>
        <v>29.324633765584373</v>
      </c>
      <c r="G103" s="90">
        <f t="shared" ca="1" si="18"/>
        <v>0</v>
      </c>
      <c r="H103" s="90">
        <f t="shared" ca="1" si="18"/>
        <v>0</v>
      </c>
      <c r="I103" s="90">
        <f t="shared" ca="1" si="18"/>
        <v>0</v>
      </c>
      <c r="J103" s="40"/>
    </row>
    <row r="104" spans="1:10" ht="17.100000000000001" customHeight="1" x14ac:dyDescent="0.2">
      <c r="A104" s="20" t="s">
        <v>89</v>
      </c>
      <c r="B104" s="108"/>
      <c r="C104" s="108"/>
      <c r="D104" s="108"/>
      <c r="E104" s="84">
        <f>Assumptions!F32</f>
        <v>3.7499999999999999E-2</v>
      </c>
      <c r="F104" s="84">
        <f>Assumptions!G32</f>
        <v>0.04</v>
      </c>
      <c r="G104" s="84">
        <f>Assumptions!H32</f>
        <v>4.2500000000000003E-2</v>
      </c>
      <c r="H104" s="84">
        <f>Assumptions!I32</f>
        <v>4.5000000000000005E-2</v>
      </c>
      <c r="I104" s="84">
        <f>Assumptions!J32</f>
        <v>4.7500000000000007E-2</v>
      </c>
      <c r="J104" s="40"/>
    </row>
    <row r="105" spans="1:10" ht="17.100000000000001" customHeight="1" x14ac:dyDescent="0.2">
      <c r="A105" s="20" t="s">
        <v>6</v>
      </c>
      <c r="B105" s="108"/>
      <c r="C105" s="108"/>
      <c r="D105" s="108"/>
      <c r="E105" s="60">
        <f ca="1">AVERAGE(E101,E103)*E104</f>
        <v>1.3347257928693808</v>
      </c>
      <c r="F105" s="60">
        <f t="shared" ref="F105:I105" ca="1" si="19">AVERAGE(F101,F103)*F104</f>
        <v>1.6802001877056938</v>
      </c>
      <c r="G105" s="60">
        <f t="shared" ca="1" si="19"/>
        <v>0.62314846751866793</v>
      </c>
      <c r="H105" s="60">
        <f t="shared" ca="1" si="19"/>
        <v>0</v>
      </c>
      <c r="I105" s="60">
        <f t="shared" ca="1" si="19"/>
        <v>0</v>
      </c>
      <c r="J105" s="40"/>
    </row>
    <row r="106" spans="1:10" ht="17.100000000000001" customHeight="1" x14ac:dyDescent="0.2">
      <c r="A106" s="20"/>
      <c r="B106" s="108"/>
      <c r="C106" s="108"/>
      <c r="D106" s="108"/>
      <c r="E106" s="60"/>
      <c r="F106" s="60"/>
      <c r="G106" s="60"/>
      <c r="H106" s="60"/>
      <c r="I106" s="60"/>
      <c r="J106" s="40"/>
    </row>
    <row r="107" spans="1:10" ht="17.100000000000001" customHeight="1" x14ac:dyDescent="0.2">
      <c r="A107" s="25" t="s">
        <v>162</v>
      </c>
      <c r="B107" s="108"/>
      <c r="C107" s="108"/>
      <c r="D107" s="108"/>
      <c r="E107" s="60"/>
      <c r="F107" s="60"/>
      <c r="G107" s="60"/>
      <c r="H107" s="60"/>
      <c r="I107" s="60"/>
      <c r="J107" s="40"/>
    </row>
    <row r="108" spans="1:10" ht="17.100000000000001" customHeight="1" x14ac:dyDescent="0.2">
      <c r="A108" s="20" t="s">
        <v>90</v>
      </c>
      <c r="B108" s="108"/>
      <c r="C108" s="108"/>
      <c r="D108" s="108"/>
      <c r="E108" s="90">
        <f>D54</f>
        <v>100</v>
      </c>
      <c r="F108" s="90">
        <f t="shared" ref="F108:I108" si="20">E54</f>
        <v>90</v>
      </c>
      <c r="G108" s="90">
        <f t="shared" si="20"/>
        <v>80</v>
      </c>
      <c r="H108" s="90">
        <f t="shared" si="20"/>
        <v>70</v>
      </c>
      <c r="I108" s="90">
        <f t="shared" si="20"/>
        <v>60</v>
      </c>
      <c r="J108" s="40"/>
    </row>
    <row r="109" spans="1:10" ht="17.100000000000001" customHeight="1" x14ac:dyDescent="0.2">
      <c r="A109" s="20" t="s">
        <v>93</v>
      </c>
      <c r="B109" s="108"/>
      <c r="C109" s="108"/>
      <c r="D109" s="108"/>
      <c r="E109" s="90">
        <f>-Assumptions!F36</f>
        <v>-10</v>
      </c>
      <c r="F109" s="90">
        <f>-Assumptions!G36</f>
        <v>-10</v>
      </c>
      <c r="G109" s="90">
        <f>-Assumptions!H36</f>
        <v>-10</v>
      </c>
      <c r="H109" s="90">
        <f>-Assumptions!I36</f>
        <v>-10</v>
      </c>
      <c r="I109" s="90">
        <f>-Assumptions!J36</f>
        <v>-10</v>
      </c>
      <c r="J109" s="40"/>
    </row>
    <row r="110" spans="1:10" ht="17.100000000000001" customHeight="1" x14ac:dyDescent="0.2">
      <c r="A110" s="20" t="s">
        <v>91</v>
      </c>
      <c r="B110" s="108"/>
      <c r="C110" s="108"/>
      <c r="D110" s="108"/>
      <c r="E110" s="90">
        <f>E108+E109</f>
        <v>90</v>
      </c>
      <c r="F110" s="90">
        <f t="shared" ref="F110:I110" si="21">F108+F109</f>
        <v>80</v>
      </c>
      <c r="G110" s="90">
        <f t="shared" si="21"/>
        <v>70</v>
      </c>
      <c r="H110" s="90">
        <f t="shared" si="21"/>
        <v>60</v>
      </c>
      <c r="I110" s="90">
        <f t="shared" si="21"/>
        <v>50</v>
      </c>
      <c r="J110" s="40"/>
    </row>
    <row r="111" spans="1:10" ht="17.100000000000001" customHeight="1" x14ac:dyDescent="0.2">
      <c r="A111" s="20" t="s">
        <v>89</v>
      </c>
      <c r="B111" s="108"/>
      <c r="C111" s="108"/>
      <c r="D111" s="108"/>
      <c r="E111" s="84">
        <f>Assumptions!F33</f>
        <v>4.4999999999999998E-2</v>
      </c>
      <c r="F111" s="84">
        <f>Assumptions!G33</f>
        <v>4.7500000000000001E-2</v>
      </c>
      <c r="G111" s="84">
        <f>Assumptions!H33</f>
        <v>0.05</v>
      </c>
      <c r="H111" s="84">
        <f>Assumptions!I33</f>
        <v>5.2500000000000005E-2</v>
      </c>
      <c r="I111" s="84">
        <f>Assumptions!J33</f>
        <v>5.5000000000000007E-2</v>
      </c>
      <c r="J111" s="40"/>
    </row>
    <row r="112" spans="1:10" ht="17.100000000000001" customHeight="1" x14ac:dyDescent="0.2">
      <c r="A112" s="20" t="s">
        <v>6</v>
      </c>
      <c r="B112" s="108"/>
      <c r="C112" s="108"/>
      <c r="D112" s="108"/>
      <c r="E112" s="90">
        <f>AVERAGE(E108,E110)*E111</f>
        <v>4.2749999999999995</v>
      </c>
      <c r="F112" s="90">
        <f t="shared" ref="F112:I112" si="22">AVERAGE(F108,F110)*F111</f>
        <v>4.0374999999999996</v>
      </c>
      <c r="G112" s="90">
        <f t="shared" si="22"/>
        <v>3.75</v>
      </c>
      <c r="H112" s="90">
        <f t="shared" si="22"/>
        <v>3.4125000000000005</v>
      </c>
      <c r="I112" s="90">
        <f t="shared" si="22"/>
        <v>3.0250000000000004</v>
      </c>
      <c r="J112" s="40"/>
    </row>
    <row r="113" spans="1:10" ht="17.100000000000001" customHeight="1" x14ac:dyDescent="0.2">
      <c r="A113" s="12"/>
      <c r="B113" s="108"/>
      <c r="C113" s="108"/>
      <c r="D113" s="108"/>
      <c r="E113" s="90"/>
      <c r="F113" s="90"/>
      <c r="G113" s="90"/>
      <c r="H113" s="90"/>
      <c r="I113" s="90"/>
      <c r="J113" s="40"/>
    </row>
    <row r="114" spans="1:10" ht="17.100000000000001" customHeight="1" x14ac:dyDescent="0.2">
      <c r="A114" s="20" t="s">
        <v>67</v>
      </c>
      <c r="B114" s="108"/>
      <c r="C114" s="108"/>
      <c r="D114" s="108"/>
      <c r="E114" s="90">
        <f ca="1">E105+E112</f>
        <v>5.60972579286938</v>
      </c>
      <c r="F114" s="90">
        <f t="shared" ref="F114:I114" ca="1" si="23">F105+F112</f>
        <v>5.7177001877056934</v>
      </c>
      <c r="G114" s="90">
        <f t="shared" ca="1" si="23"/>
        <v>4.3731484675186678</v>
      </c>
      <c r="H114" s="90">
        <f t="shared" ca="1" si="23"/>
        <v>3.4125000000000005</v>
      </c>
      <c r="I114" s="90">
        <f t="shared" ca="1" si="23"/>
        <v>3.0250000000000004</v>
      </c>
      <c r="J114" s="40"/>
    </row>
    <row r="115" spans="1:10" ht="17.100000000000001" customHeight="1" x14ac:dyDescent="0.2">
      <c r="A115" s="20" t="s">
        <v>92</v>
      </c>
      <c r="B115" s="108"/>
      <c r="C115" s="108"/>
      <c r="D115" s="108"/>
      <c r="E115" s="90">
        <f ca="1">AVERAGE(E93,E94)*Assumptions!F34</f>
        <v>0.47111999999999982</v>
      </c>
      <c r="F115" s="90">
        <f ca="1">AVERAGE(F93,F94)*Assumptions!G34</f>
        <v>0</v>
      </c>
      <c r="G115" s="90">
        <f ca="1">AVERAGE(G93,G94)*Assumptions!H34</f>
        <v>4.1932736379177273E-3</v>
      </c>
      <c r="H115" s="90">
        <f ca="1">AVERAGE(H93,H94)*Assumptions!I34</f>
        <v>0.18374365006023399</v>
      </c>
      <c r="I115" s="90">
        <f ca="1">AVERAGE(I93,I94)*Assumptions!J34</f>
        <v>0.55916697815954808</v>
      </c>
      <c r="J115" s="40"/>
    </row>
    <row r="116" spans="1:10" ht="17.100000000000001" customHeight="1" x14ac:dyDescent="0.2">
      <c r="A116" s="12"/>
      <c r="E116" s="43"/>
      <c r="F116" s="43"/>
      <c r="G116" s="43"/>
      <c r="H116" s="43"/>
      <c r="I116" s="43"/>
      <c r="J116" s="40"/>
    </row>
    <row r="117" spans="1:10" x14ac:dyDescent="0.2">
      <c r="A117" s="12"/>
      <c r="E117" s="43"/>
      <c r="F117" s="43"/>
      <c r="G117" s="43"/>
      <c r="H117" s="43"/>
      <c r="I117" s="43"/>
    </row>
    <row r="118" spans="1:10" x14ac:dyDescent="0.2">
      <c r="A118" s="12"/>
      <c r="E118" s="43"/>
      <c r="F118" s="43"/>
      <c r="G118" s="43"/>
      <c r="H118" s="43"/>
      <c r="I118" s="43"/>
    </row>
    <row r="119" spans="1:10" x14ac:dyDescent="0.2">
      <c r="A119" s="12"/>
      <c r="E119" s="46"/>
      <c r="F119" s="46"/>
      <c r="G119" s="46"/>
      <c r="H119" s="46"/>
      <c r="I119" s="46"/>
    </row>
    <row r="120" spans="1:10" x14ac:dyDescent="0.2">
      <c r="A120" s="12"/>
      <c r="E120" s="46"/>
      <c r="F120" s="46"/>
      <c r="G120" s="46"/>
      <c r="H120" s="46"/>
      <c r="I120" s="46"/>
    </row>
    <row r="121" spans="1:10" x14ac:dyDescent="0.2">
      <c r="A121" s="12"/>
      <c r="E121" s="46"/>
      <c r="F121" s="46"/>
      <c r="G121" s="46"/>
      <c r="H121" s="46"/>
      <c r="I121" s="46"/>
    </row>
    <row r="122" spans="1:10" x14ac:dyDescent="0.2">
      <c r="A122" s="12"/>
      <c r="E122" s="46"/>
      <c r="F122" s="46"/>
      <c r="G122" s="46"/>
      <c r="H122" s="46"/>
      <c r="I122" s="46"/>
    </row>
    <row r="123" spans="1:10" x14ac:dyDescent="0.2">
      <c r="A123" s="12"/>
      <c r="E123" s="46"/>
      <c r="F123" s="46"/>
      <c r="G123" s="46"/>
      <c r="H123" s="46"/>
      <c r="I123" s="46"/>
    </row>
    <row r="124" spans="1:10" x14ac:dyDescent="0.2">
      <c r="A124" s="12"/>
      <c r="E124" s="46"/>
      <c r="F124" s="46"/>
      <c r="G124" s="46"/>
      <c r="H124" s="46"/>
      <c r="I124" s="46"/>
    </row>
    <row r="125" spans="1:10" x14ac:dyDescent="0.2">
      <c r="A125" s="12"/>
      <c r="E125" s="46"/>
      <c r="F125" s="46"/>
      <c r="G125" s="46"/>
      <c r="H125" s="46"/>
      <c r="I125" s="46"/>
    </row>
    <row r="126" spans="1:10" x14ac:dyDescent="0.2">
      <c r="A126" s="12"/>
      <c r="E126" s="46"/>
      <c r="F126" s="46"/>
      <c r="G126" s="46"/>
      <c r="H126" s="46"/>
      <c r="I126" s="46"/>
    </row>
    <row r="127" spans="1:10" x14ac:dyDescent="0.2">
      <c r="A127" s="12"/>
      <c r="E127" s="46"/>
      <c r="F127" s="46"/>
      <c r="G127" s="46"/>
      <c r="H127" s="46"/>
      <c r="I127" s="46"/>
    </row>
    <row r="128" spans="1:10" x14ac:dyDescent="0.2">
      <c r="A128" s="12"/>
      <c r="E128" s="46"/>
      <c r="F128" s="46"/>
      <c r="G128" s="46"/>
      <c r="H128" s="46"/>
      <c r="I128" s="46"/>
    </row>
    <row r="129" spans="1:9" x14ac:dyDescent="0.2">
      <c r="A129" s="12"/>
      <c r="E129" s="46"/>
      <c r="F129" s="46"/>
      <c r="G129" s="46"/>
      <c r="H129" s="46"/>
      <c r="I129" s="46"/>
    </row>
    <row r="130" spans="1:9" x14ac:dyDescent="0.2">
      <c r="A130" s="12"/>
      <c r="E130" s="12"/>
      <c r="F130" s="12"/>
      <c r="G130" s="12"/>
      <c r="H130" s="12"/>
      <c r="I130" s="12"/>
    </row>
    <row r="131" spans="1:9" x14ac:dyDescent="0.2">
      <c r="A131" s="12"/>
      <c r="E131" s="12"/>
      <c r="F131" s="12"/>
      <c r="G131" s="12"/>
      <c r="H131" s="12"/>
      <c r="I131" s="12"/>
    </row>
    <row r="132" spans="1:9" x14ac:dyDescent="0.2">
      <c r="A132" s="12"/>
      <c r="E132" s="12"/>
      <c r="F132" s="12"/>
      <c r="G132" s="12"/>
      <c r="H132" s="12"/>
      <c r="I132" s="12"/>
    </row>
    <row r="133" spans="1:9" x14ac:dyDescent="0.2">
      <c r="A133" s="12"/>
      <c r="E133" s="12"/>
      <c r="F133" s="12"/>
      <c r="G133" s="12"/>
      <c r="H133" s="12"/>
      <c r="I133" s="12"/>
    </row>
    <row r="134" spans="1:9" x14ac:dyDescent="0.2">
      <c r="A134" s="12"/>
      <c r="E134" s="12"/>
      <c r="F134" s="12"/>
      <c r="G134" s="12"/>
      <c r="H134" s="12"/>
      <c r="I134" s="12"/>
    </row>
    <row r="135" spans="1:9" x14ac:dyDescent="0.2">
      <c r="A135" s="12"/>
      <c r="E135" s="12"/>
      <c r="F135" s="12"/>
      <c r="G135" s="12"/>
      <c r="H135" s="12"/>
      <c r="I135" s="12"/>
    </row>
    <row r="136" spans="1:9" x14ac:dyDescent="0.2">
      <c r="A136" s="12"/>
      <c r="E136" s="12"/>
      <c r="F136" s="12"/>
      <c r="G136" s="12"/>
      <c r="H136" s="12"/>
      <c r="I136" s="12"/>
    </row>
    <row r="137" spans="1:9" x14ac:dyDescent="0.2">
      <c r="A137" s="12"/>
      <c r="E137" s="12"/>
      <c r="F137" s="12"/>
      <c r="G137" s="12"/>
      <c r="H137" s="12"/>
      <c r="I137" s="12"/>
    </row>
    <row r="138" spans="1:9" x14ac:dyDescent="0.2">
      <c r="A138" s="12"/>
      <c r="E138" s="12"/>
      <c r="F138" s="12"/>
      <c r="G138" s="12"/>
      <c r="H138" s="12"/>
      <c r="I138" s="12"/>
    </row>
    <row r="139" spans="1:9" x14ac:dyDescent="0.2">
      <c r="A139" s="12"/>
      <c r="E139" s="12"/>
      <c r="F139" s="12"/>
      <c r="G139" s="12"/>
      <c r="H139" s="12"/>
      <c r="I139" s="12"/>
    </row>
    <row r="140" spans="1:9" x14ac:dyDescent="0.2">
      <c r="A140" s="12"/>
      <c r="E140" s="12"/>
      <c r="F140" s="12"/>
      <c r="G140" s="12"/>
      <c r="H140" s="12"/>
      <c r="I140" s="12"/>
    </row>
    <row r="141" spans="1:9" x14ac:dyDescent="0.2">
      <c r="A141" s="12"/>
      <c r="E141" s="12"/>
      <c r="F141" s="12"/>
      <c r="G141" s="12"/>
      <c r="H141" s="12"/>
      <c r="I141" s="12"/>
    </row>
    <row r="142" spans="1:9" x14ac:dyDescent="0.2">
      <c r="A142" s="12"/>
      <c r="E142" s="12"/>
      <c r="F142" s="12"/>
      <c r="G142" s="12"/>
      <c r="H142" s="12"/>
      <c r="I142" s="12"/>
    </row>
    <row r="143" spans="1:9" x14ac:dyDescent="0.2">
      <c r="A143" s="12"/>
      <c r="E143" s="12"/>
      <c r="F143" s="12"/>
      <c r="G143" s="12"/>
      <c r="H143" s="12"/>
      <c r="I143" s="12"/>
    </row>
    <row r="144" spans="1:9" x14ac:dyDescent="0.2">
      <c r="A144" s="12"/>
      <c r="E144" s="12"/>
      <c r="F144" s="12"/>
      <c r="G144" s="12"/>
      <c r="H144" s="12"/>
      <c r="I144" s="12"/>
    </row>
    <row r="145" spans="1:9" x14ac:dyDescent="0.2">
      <c r="A145" s="12"/>
      <c r="E145" s="12"/>
      <c r="F145" s="12"/>
      <c r="G145" s="12"/>
      <c r="H145" s="12"/>
      <c r="I145" s="12"/>
    </row>
    <row r="146" spans="1:9" x14ac:dyDescent="0.2">
      <c r="A146" s="12"/>
      <c r="E146" s="12"/>
      <c r="F146" s="12"/>
      <c r="G146" s="12"/>
      <c r="H146" s="12"/>
      <c r="I146" s="12"/>
    </row>
    <row r="147" spans="1:9" x14ac:dyDescent="0.2">
      <c r="A147" s="12"/>
      <c r="E147" s="12"/>
      <c r="F147" s="12"/>
      <c r="G147" s="12"/>
      <c r="H147" s="12"/>
      <c r="I147" s="12"/>
    </row>
    <row r="148" spans="1:9" x14ac:dyDescent="0.2">
      <c r="A148" s="12"/>
      <c r="E148" s="12"/>
      <c r="F148" s="12"/>
      <c r="G148" s="12"/>
      <c r="H148" s="12"/>
      <c r="I148" s="12"/>
    </row>
    <row r="149" spans="1:9" x14ac:dyDescent="0.2">
      <c r="A149" s="12"/>
      <c r="E149" s="12"/>
      <c r="F149" s="12"/>
      <c r="G149" s="12"/>
      <c r="H149" s="12"/>
      <c r="I149" s="12"/>
    </row>
    <row r="150" spans="1:9" x14ac:dyDescent="0.2">
      <c r="A150" s="12"/>
      <c r="E150" s="12"/>
      <c r="F150" s="12"/>
      <c r="G150" s="12"/>
      <c r="H150" s="12"/>
      <c r="I150" s="12"/>
    </row>
    <row r="151" spans="1:9" x14ac:dyDescent="0.2">
      <c r="A151" s="12"/>
      <c r="E151" s="12"/>
      <c r="F151" s="12"/>
      <c r="G151" s="12"/>
      <c r="H151" s="12"/>
      <c r="I151" s="12"/>
    </row>
    <row r="152" spans="1:9" x14ac:dyDescent="0.2">
      <c r="A152" s="12"/>
      <c r="E152" s="12"/>
      <c r="F152" s="12"/>
      <c r="G152" s="12"/>
      <c r="H152" s="12"/>
      <c r="I152" s="12"/>
    </row>
    <row r="153" spans="1:9" x14ac:dyDescent="0.2">
      <c r="A153" s="12"/>
      <c r="E153" s="12"/>
      <c r="F153" s="12"/>
      <c r="G153" s="12"/>
      <c r="H153" s="12"/>
      <c r="I153" s="12"/>
    </row>
    <row r="154" spans="1:9" x14ac:dyDescent="0.2">
      <c r="A154" s="12"/>
      <c r="E154" s="12"/>
      <c r="F154" s="12"/>
      <c r="G154" s="12"/>
      <c r="H154" s="12"/>
      <c r="I154" s="12"/>
    </row>
    <row r="155" spans="1:9" x14ac:dyDescent="0.2">
      <c r="A155" s="12"/>
      <c r="E155" s="12"/>
      <c r="F155" s="12"/>
      <c r="G155" s="12"/>
      <c r="H155" s="12"/>
      <c r="I155" s="12"/>
    </row>
    <row r="156" spans="1:9" x14ac:dyDescent="0.2">
      <c r="A156" s="12"/>
      <c r="E156" s="12"/>
      <c r="F156" s="12"/>
      <c r="G156" s="12"/>
      <c r="H156" s="12"/>
      <c r="I156" s="12"/>
    </row>
    <row r="157" spans="1:9" x14ac:dyDescent="0.2">
      <c r="A157" s="12"/>
      <c r="E157" s="12"/>
      <c r="F157" s="12"/>
      <c r="G157" s="12"/>
      <c r="H157" s="12"/>
      <c r="I157" s="12"/>
    </row>
    <row r="158" spans="1:9" x14ac:dyDescent="0.2">
      <c r="A158" s="12"/>
      <c r="E158" s="12"/>
      <c r="F158" s="12"/>
      <c r="G158" s="12"/>
      <c r="H158" s="12"/>
      <c r="I158" s="12"/>
    </row>
    <row r="159" spans="1:9" x14ac:dyDescent="0.2">
      <c r="A159" s="12"/>
      <c r="E159" s="12"/>
      <c r="F159" s="12"/>
      <c r="G159" s="12"/>
      <c r="H159" s="12"/>
      <c r="I159" s="12"/>
    </row>
    <row r="160" spans="1:9" x14ac:dyDescent="0.2">
      <c r="A160" s="12"/>
      <c r="E160" s="12"/>
      <c r="F160" s="12"/>
      <c r="G160" s="12"/>
      <c r="H160" s="12"/>
      <c r="I160" s="12"/>
    </row>
    <row r="161" spans="1:9" x14ac:dyDescent="0.2">
      <c r="A161" s="12"/>
      <c r="E161" s="12"/>
      <c r="F161" s="12"/>
      <c r="G161" s="12"/>
      <c r="H161" s="12"/>
      <c r="I161" s="12"/>
    </row>
    <row r="162" spans="1:9" x14ac:dyDescent="0.2">
      <c r="A162" s="12"/>
      <c r="E162" s="12"/>
      <c r="F162" s="12"/>
      <c r="G162" s="12"/>
      <c r="H162" s="12"/>
      <c r="I162" s="12"/>
    </row>
    <row r="163" spans="1:9" x14ac:dyDescent="0.2">
      <c r="A163" s="12"/>
      <c r="E163" s="12"/>
      <c r="F163" s="12"/>
      <c r="G163" s="12"/>
      <c r="H163" s="12"/>
      <c r="I163" s="12"/>
    </row>
    <row r="164" spans="1:9" x14ac:dyDescent="0.2">
      <c r="A164" s="12"/>
      <c r="E164" s="12"/>
      <c r="F164" s="12"/>
      <c r="G164" s="12"/>
      <c r="H164" s="12"/>
      <c r="I164" s="12"/>
    </row>
    <row r="165" spans="1:9" x14ac:dyDescent="0.2">
      <c r="E165" s="12"/>
      <c r="F165" s="12"/>
      <c r="G165" s="12"/>
      <c r="H165" s="12"/>
      <c r="I165" s="12"/>
    </row>
    <row r="166" spans="1:9" x14ac:dyDescent="0.2">
      <c r="E166" s="12"/>
      <c r="F166" s="12"/>
      <c r="G166" s="12"/>
      <c r="H166" s="12"/>
      <c r="I166" s="12"/>
    </row>
    <row r="167" spans="1:9" x14ac:dyDescent="0.2">
      <c r="E167" s="12"/>
      <c r="F167" s="12"/>
      <c r="G167" s="12"/>
      <c r="H167" s="12"/>
      <c r="I167" s="12"/>
    </row>
    <row r="168" spans="1:9" x14ac:dyDescent="0.2">
      <c r="E168" s="12"/>
      <c r="F168" s="12"/>
      <c r="G168" s="12"/>
      <c r="H168" s="12"/>
      <c r="I168" s="12"/>
    </row>
    <row r="169" spans="1:9" x14ac:dyDescent="0.2">
      <c r="E169" s="12"/>
      <c r="F169" s="12"/>
      <c r="G169" s="12"/>
      <c r="H169" s="12"/>
      <c r="I169" s="12"/>
    </row>
    <row r="170" spans="1:9" x14ac:dyDescent="0.2">
      <c r="E170" s="12"/>
      <c r="F170" s="12"/>
      <c r="G170" s="12"/>
      <c r="H170" s="12"/>
      <c r="I170" s="12"/>
    </row>
    <row r="171" spans="1:9" x14ac:dyDescent="0.2">
      <c r="E171" s="12"/>
      <c r="F171" s="12"/>
      <c r="G171" s="12"/>
      <c r="H171" s="12"/>
      <c r="I171" s="12"/>
    </row>
    <row r="172" spans="1:9" x14ac:dyDescent="0.2">
      <c r="E172" s="12"/>
      <c r="F172" s="12"/>
      <c r="G172" s="12"/>
      <c r="H172" s="12"/>
      <c r="I172" s="12"/>
    </row>
    <row r="173" spans="1:9" x14ac:dyDescent="0.2">
      <c r="E173" s="12"/>
      <c r="F173" s="12"/>
      <c r="G173" s="12"/>
      <c r="H173" s="12"/>
      <c r="I173" s="12"/>
    </row>
    <row r="174" spans="1:9" x14ac:dyDescent="0.2">
      <c r="E174" s="12"/>
      <c r="F174" s="12"/>
      <c r="G174" s="12"/>
      <c r="H174" s="12"/>
      <c r="I174" s="12"/>
    </row>
    <row r="175" spans="1:9" x14ac:dyDescent="0.2">
      <c r="E175" s="12"/>
      <c r="F175" s="12"/>
      <c r="G175" s="12"/>
      <c r="H175" s="12"/>
      <c r="I175" s="12"/>
    </row>
    <row r="176" spans="1:9" x14ac:dyDescent="0.2">
      <c r="E176" s="12"/>
      <c r="F176" s="12"/>
      <c r="G176" s="12"/>
      <c r="H176" s="12"/>
      <c r="I176" s="12"/>
    </row>
    <row r="177" spans="5:9" x14ac:dyDescent="0.2">
      <c r="E177" s="12"/>
      <c r="F177" s="12"/>
      <c r="G177" s="12"/>
      <c r="H177" s="12"/>
      <c r="I177" s="12"/>
    </row>
    <row r="178" spans="5:9" x14ac:dyDescent="0.2">
      <c r="E178" s="12"/>
      <c r="F178" s="12"/>
      <c r="G178" s="12"/>
      <c r="H178" s="12"/>
      <c r="I178" s="12"/>
    </row>
    <row r="179" spans="5:9" x14ac:dyDescent="0.2">
      <c r="E179" s="12"/>
      <c r="F179" s="12"/>
      <c r="G179" s="12"/>
      <c r="H179" s="12"/>
      <c r="I179" s="12"/>
    </row>
    <row r="180" spans="5:9" x14ac:dyDescent="0.2">
      <c r="E180" s="12"/>
      <c r="F180" s="12"/>
      <c r="G180" s="12"/>
      <c r="H180" s="12"/>
      <c r="I180" s="12"/>
    </row>
    <row r="181" spans="5:9" x14ac:dyDescent="0.2">
      <c r="E181" s="12"/>
      <c r="F181" s="12"/>
      <c r="G181" s="12"/>
      <c r="H181" s="12"/>
      <c r="I181" s="12"/>
    </row>
    <row r="182" spans="5:9" x14ac:dyDescent="0.2">
      <c r="E182" s="12"/>
      <c r="F182" s="12"/>
      <c r="G182" s="12"/>
      <c r="H182" s="12"/>
      <c r="I182" s="12"/>
    </row>
    <row r="183" spans="5:9" x14ac:dyDescent="0.2">
      <c r="E183" s="12"/>
      <c r="F183" s="12"/>
      <c r="G183" s="12"/>
      <c r="H183" s="12"/>
      <c r="I183" s="12"/>
    </row>
    <row r="184" spans="5:9" x14ac:dyDescent="0.2">
      <c r="E184" s="12"/>
      <c r="F184" s="12"/>
      <c r="G184" s="12"/>
      <c r="H184" s="12"/>
      <c r="I184" s="12"/>
    </row>
    <row r="185" spans="5:9" x14ac:dyDescent="0.2">
      <c r="E185" s="12"/>
      <c r="F185" s="12"/>
      <c r="G185" s="12"/>
      <c r="H185" s="12"/>
      <c r="I185" s="12"/>
    </row>
    <row r="186" spans="5:9" x14ac:dyDescent="0.2">
      <c r="E186" s="12"/>
      <c r="F186" s="12"/>
      <c r="G186" s="12"/>
      <c r="H186" s="12"/>
      <c r="I186" s="12"/>
    </row>
    <row r="187" spans="5:9" x14ac:dyDescent="0.2">
      <c r="E187" s="12"/>
      <c r="F187" s="12"/>
      <c r="G187" s="12"/>
      <c r="H187" s="12"/>
      <c r="I187" s="12"/>
    </row>
    <row r="188" spans="5:9" x14ac:dyDescent="0.2">
      <c r="E188" s="12"/>
      <c r="F188" s="12"/>
      <c r="G188" s="12"/>
      <c r="H188" s="12"/>
      <c r="I188" s="12"/>
    </row>
    <row r="189" spans="5:9" x14ac:dyDescent="0.2">
      <c r="E189" s="12"/>
      <c r="F189" s="12"/>
      <c r="G189" s="12"/>
      <c r="H189" s="12"/>
      <c r="I189" s="12"/>
    </row>
    <row r="190" spans="5:9" x14ac:dyDescent="0.2">
      <c r="E190" s="12"/>
      <c r="F190" s="12"/>
      <c r="G190" s="12"/>
      <c r="H190" s="12"/>
      <c r="I190" s="12"/>
    </row>
    <row r="191" spans="5:9" x14ac:dyDescent="0.2">
      <c r="E191" s="12"/>
      <c r="F191" s="12"/>
      <c r="G191" s="12"/>
      <c r="H191" s="12"/>
      <c r="I191" s="12"/>
    </row>
    <row r="192" spans="5:9" x14ac:dyDescent="0.2">
      <c r="E192" s="12"/>
      <c r="F192" s="12"/>
      <c r="G192" s="12"/>
      <c r="H192" s="12"/>
      <c r="I192" s="12"/>
    </row>
    <row r="193" spans="5:9" x14ac:dyDescent="0.2">
      <c r="E193" s="12"/>
      <c r="F193" s="12"/>
      <c r="G193" s="12"/>
      <c r="H193" s="12"/>
      <c r="I193" s="12"/>
    </row>
    <row r="194" spans="5:9" x14ac:dyDescent="0.2">
      <c r="E194" s="12"/>
      <c r="F194" s="12"/>
      <c r="G194" s="12"/>
      <c r="H194" s="12"/>
      <c r="I194" s="12"/>
    </row>
    <row r="195" spans="5:9" x14ac:dyDescent="0.2">
      <c r="E195" s="12"/>
      <c r="F195" s="12"/>
      <c r="G195" s="12"/>
      <c r="H195" s="12"/>
      <c r="I195" s="12"/>
    </row>
    <row r="196" spans="5:9" x14ac:dyDescent="0.2">
      <c r="E196" s="12"/>
      <c r="F196" s="12"/>
      <c r="G196" s="12"/>
      <c r="H196" s="12"/>
      <c r="I196" s="12"/>
    </row>
    <row r="197" spans="5:9" x14ac:dyDescent="0.2">
      <c r="E197" s="12"/>
      <c r="F197" s="12"/>
      <c r="G197" s="12"/>
      <c r="H197" s="12"/>
      <c r="I197" s="12"/>
    </row>
    <row r="198" spans="5:9" x14ac:dyDescent="0.2">
      <c r="E198" s="12"/>
      <c r="F198" s="12"/>
      <c r="G198" s="12"/>
      <c r="H198" s="12"/>
      <c r="I198" s="12"/>
    </row>
    <row r="199" spans="5:9" x14ac:dyDescent="0.2">
      <c r="E199" s="12"/>
      <c r="F199" s="12"/>
      <c r="G199" s="12"/>
      <c r="H199" s="12"/>
      <c r="I199" s="12"/>
    </row>
    <row r="200" spans="5:9" x14ac:dyDescent="0.2">
      <c r="E200" s="12"/>
      <c r="F200" s="12"/>
      <c r="G200" s="12"/>
      <c r="H200" s="12"/>
      <c r="I200" s="12"/>
    </row>
    <row r="201" spans="5:9" x14ac:dyDescent="0.2">
      <c r="E201" s="12"/>
      <c r="F201" s="12"/>
      <c r="G201" s="12"/>
      <c r="H201" s="12"/>
      <c r="I201" s="12"/>
    </row>
    <row r="202" spans="5:9" x14ac:dyDescent="0.2">
      <c r="E202" s="12"/>
      <c r="F202" s="12"/>
      <c r="G202" s="12"/>
      <c r="H202" s="12"/>
      <c r="I202" s="12"/>
    </row>
    <row r="203" spans="5:9" x14ac:dyDescent="0.2">
      <c r="E203" s="12"/>
      <c r="F203" s="12"/>
      <c r="G203" s="12"/>
      <c r="H203" s="12"/>
      <c r="I203" s="12"/>
    </row>
    <row r="204" spans="5:9" x14ac:dyDescent="0.2">
      <c r="E204" s="12"/>
      <c r="F204" s="12"/>
      <c r="G204" s="12"/>
      <c r="H204" s="12"/>
      <c r="I204" s="12"/>
    </row>
    <row r="205" spans="5:9" x14ac:dyDescent="0.2">
      <c r="E205" s="12"/>
      <c r="F205" s="12"/>
      <c r="G205" s="12"/>
      <c r="H205" s="12"/>
      <c r="I205" s="12"/>
    </row>
    <row r="206" spans="5:9" x14ac:dyDescent="0.2">
      <c r="E206" s="12"/>
      <c r="F206" s="12"/>
      <c r="G206" s="12"/>
      <c r="H206" s="12"/>
      <c r="I206" s="12"/>
    </row>
    <row r="207" spans="5:9" x14ac:dyDescent="0.2">
      <c r="E207" s="12"/>
      <c r="F207" s="12"/>
      <c r="G207" s="12"/>
      <c r="H207" s="12"/>
      <c r="I207" s="12"/>
    </row>
    <row r="208" spans="5:9" x14ac:dyDescent="0.2">
      <c r="E208" s="12"/>
      <c r="F208" s="12"/>
      <c r="G208" s="12"/>
      <c r="H208" s="12"/>
      <c r="I208" s="12"/>
    </row>
    <row r="209" spans="5:9" x14ac:dyDescent="0.2">
      <c r="E209" s="12"/>
      <c r="F209" s="12"/>
      <c r="G209" s="12"/>
      <c r="H209" s="12"/>
      <c r="I209" s="12"/>
    </row>
    <row r="210" spans="5:9" x14ac:dyDescent="0.2">
      <c r="E210" s="12"/>
      <c r="F210" s="12"/>
      <c r="G210" s="12"/>
      <c r="H210" s="12"/>
      <c r="I210" s="12"/>
    </row>
    <row r="211" spans="5:9" x14ac:dyDescent="0.2">
      <c r="E211" s="12"/>
      <c r="F211" s="12"/>
      <c r="G211" s="12"/>
      <c r="H211" s="12"/>
      <c r="I211" s="12"/>
    </row>
    <row r="212" spans="5:9" x14ac:dyDescent="0.2">
      <c r="E212" s="12"/>
      <c r="F212" s="12"/>
      <c r="G212" s="12"/>
      <c r="H212" s="12"/>
      <c r="I212" s="12"/>
    </row>
    <row r="213" spans="5:9" x14ac:dyDescent="0.2">
      <c r="E213" s="12"/>
      <c r="F213" s="12"/>
      <c r="G213" s="12"/>
      <c r="H213" s="12"/>
      <c r="I213" s="12"/>
    </row>
    <row r="214" spans="5:9" x14ac:dyDescent="0.2">
      <c r="E214" s="12"/>
      <c r="F214" s="12"/>
      <c r="G214" s="12"/>
      <c r="H214" s="12"/>
      <c r="I214" s="12"/>
    </row>
    <row r="215" spans="5:9" x14ac:dyDescent="0.2">
      <c r="E215" s="12"/>
      <c r="F215" s="12"/>
      <c r="G215" s="12"/>
      <c r="H215" s="12"/>
      <c r="I215" s="12"/>
    </row>
    <row r="216" spans="5:9" x14ac:dyDescent="0.2">
      <c r="E216" s="12"/>
      <c r="F216" s="12"/>
      <c r="G216" s="12"/>
      <c r="H216" s="12"/>
      <c r="I216" s="12"/>
    </row>
    <row r="217" spans="5:9" x14ac:dyDescent="0.2">
      <c r="E217" s="12"/>
      <c r="F217" s="12"/>
      <c r="G217" s="12"/>
      <c r="H217" s="12"/>
      <c r="I217" s="12"/>
    </row>
    <row r="218" spans="5:9" x14ac:dyDescent="0.2">
      <c r="E218" s="12"/>
      <c r="F218" s="12"/>
      <c r="G218" s="12"/>
      <c r="H218" s="12"/>
      <c r="I218" s="12"/>
    </row>
    <row r="219" spans="5:9" x14ac:dyDescent="0.2">
      <c r="E219" s="12"/>
      <c r="F219" s="12"/>
      <c r="G219" s="12"/>
      <c r="H219" s="12"/>
      <c r="I219" s="12"/>
    </row>
  </sheetData>
  <mergeCells count="6">
    <mergeCell ref="B100:D115"/>
    <mergeCell ref="A3:B3"/>
    <mergeCell ref="A4:I4"/>
    <mergeCell ref="B6:D6"/>
    <mergeCell ref="E6:I6"/>
    <mergeCell ref="B68:D9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Assumptions</vt:lpstr>
      <vt:lpstr>Financial Statements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Aditi Tiwari</cp:lastModifiedBy>
  <dcterms:created xsi:type="dcterms:W3CDTF">2019-09-25T19:55:52Z</dcterms:created>
  <dcterms:modified xsi:type="dcterms:W3CDTF">2024-12-30T02:51:54Z</dcterms:modified>
</cp:coreProperties>
</file>