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6319cc83a4438/Desktop/Aditi/1 Semester/Investment Banking/Valuation Model/"/>
    </mc:Choice>
  </mc:AlternateContent>
  <xr:revisionPtr revIDLastSave="1050" documentId="8_{151E27AF-EA27-4A14-BAD9-3E80B6E0AED1}" xr6:coauthVersionLast="47" xr6:coauthVersionMax="47" xr10:uidLastSave="{1DC2D2A8-497B-44E1-8356-B8C86859EDE7}"/>
  <bookViews>
    <workbookView xWindow="-120" yWindow="-120" windowWidth="20730" windowHeight="11040" xr2:uid="{25AC9BD0-EDDA-4F1B-A5F6-B271BA851766}"/>
  </bookViews>
  <sheets>
    <sheet name="DCF" sheetId="1" r:id="rId1"/>
    <sheet name="Cost of Capi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18" i="1"/>
  <c r="M28" i="1"/>
  <c r="M27" i="1"/>
  <c r="M22" i="1"/>
  <c r="M6" i="1"/>
  <c r="M5" i="1"/>
  <c r="H44" i="1"/>
  <c r="G44" i="1"/>
  <c r="F44" i="1"/>
  <c r="D19" i="2"/>
  <c r="C19" i="2"/>
  <c r="B20" i="2"/>
  <c r="B15" i="2"/>
  <c r="B14" i="2"/>
  <c r="B11" i="2"/>
  <c r="B9" i="2"/>
  <c r="F35" i="1"/>
  <c r="F33" i="1"/>
  <c r="F23" i="1"/>
  <c r="F22" i="1"/>
  <c r="F21" i="1"/>
  <c r="G20" i="1"/>
  <c r="F20" i="1"/>
  <c r="F8" i="1"/>
  <c r="B29" i="2"/>
  <c r="C20" i="2"/>
  <c r="D20" i="2" s="1"/>
  <c r="D21" i="2"/>
  <c r="B37" i="1" l="1"/>
  <c r="C56" i="1" l="1"/>
  <c r="C57" i="1" s="1"/>
  <c r="C54" i="1"/>
  <c r="C53" i="1" s="1"/>
  <c r="E52" i="1"/>
  <c r="D52" i="1" s="1"/>
  <c r="G52" i="1"/>
  <c r="H52" i="1" s="1"/>
  <c r="F5" i="1"/>
  <c r="R25" i="1"/>
  <c r="R28" i="1" s="1"/>
  <c r="P34" i="1"/>
  <c r="R31" i="1"/>
  <c r="R34" i="1" s="1"/>
  <c r="P28" i="1"/>
  <c r="M7" i="1"/>
  <c r="M8" i="1" s="1"/>
  <c r="G45" i="1"/>
  <c r="H45" i="1" s="1"/>
  <c r="I45" i="1" s="1"/>
  <c r="J45" i="1" s="1"/>
  <c r="D38" i="1"/>
  <c r="E38" i="1"/>
  <c r="E37" i="1"/>
  <c r="D37" i="1"/>
  <c r="C38" i="1"/>
  <c r="C37" i="1"/>
  <c r="C40" i="1" s="1"/>
  <c r="E39" i="1"/>
  <c r="D39" i="1"/>
  <c r="C39" i="1"/>
  <c r="B39" i="1"/>
  <c r="B40" i="1" s="1"/>
  <c r="F7" i="1" l="1"/>
  <c r="F6" i="1"/>
  <c r="E40" i="1"/>
  <c r="D40" i="1"/>
  <c r="I44" i="1" l="1"/>
  <c r="J44" i="1" s="1"/>
  <c r="B16" i="2"/>
  <c r="E34" i="1"/>
  <c r="D34" i="1"/>
  <c r="C34" i="1"/>
  <c r="B34" i="1"/>
  <c r="E33" i="1"/>
  <c r="D33" i="1"/>
  <c r="C33" i="1"/>
  <c r="B33" i="1"/>
  <c r="B36" i="1" l="1"/>
  <c r="B43" i="1" s="1"/>
  <c r="F37" i="1"/>
  <c r="D35" i="1"/>
  <c r="D36" i="1" s="1"/>
  <c r="E35" i="1"/>
  <c r="G5" i="1"/>
  <c r="G33" i="1" s="1"/>
  <c r="F34" i="1"/>
  <c r="F9" i="1"/>
  <c r="F38" i="1"/>
  <c r="C35" i="1"/>
  <c r="C36" i="1" l="1"/>
  <c r="C43" i="1" s="1"/>
  <c r="F36" i="1"/>
  <c r="E36" i="1"/>
  <c r="E43" i="1" s="1"/>
  <c r="D43" i="1"/>
  <c r="G21" i="1"/>
  <c r="G37" i="1" s="1"/>
  <c r="H5" i="1"/>
  <c r="G8" i="1"/>
  <c r="G34" i="1" s="1"/>
  <c r="G9" i="1"/>
  <c r="G22" i="1"/>
  <c r="G38" i="1" s="1"/>
  <c r="G6" i="1"/>
  <c r="G7" i="1"/>
  <c r="F39" i="1"/>
  <c r="F40" i="1" l="1"/>
  <c r="F43" i="1" s="1"/>
  <c r="F46" i="1" s="1"/>
  <c r="G23" i="1"/>
  <c r="G39" i="1" s="1"/>
  <c r="G40" i="1" s="1"/>
  <c r="G35" i="1"/>
  <c r="G36" i="1" s="1"/>
  <c r="I5" i="1"/>
  <c r="H9" i="1"/>
  <c r="H22" i="1"/>
  <c r="H38" i="1" s="1"/>
  <c r="H6" i="1"/>
  <c r="H7" i="1"/>
  <c r="H8" i="1"/>
  <c r="H34" i="1" s="1"/>
  <c r="H21" i="1"/>
  <c r="H37" i="1" s="1"/>
  <c r="H33" i="1"/>
  <c r="G43" i="1" l="1"/>
  <c r="G46" i="1" s="1"/>
  <c r="J5" i="1"/>
  <c r="I22" i="1"/>
  <c r="I38" i="1" s="1"/>
  <c r="I6" i="1"/>
  <c r="I7" i="1"/>
  <c r="I8" i="1"/>
  <c r="I34" i="1" s="1"/>
  <c r="I9" i="1"/>
  <c r="I21" i="1"/>
  <c r="I37" i="1" s="1"/>
  <c r="I33" i="1"/>
  <c r="H35" i="1"/>
  <c r="H36" i="1" s="1"/>
  <c r="H20" i="1"/>
  <c r="I35" i="1" l="1"/>
  <c r="I36" i="1"/>
  <c r="J33" i="1"/>
  <c r="J22" i="1"/>
  <c r="J38" i="1" s="1"/>
  <c r="J6" i="1"/>
  <c r="J7" i="1"/>
  <c r="J8" i="1"/>
  <c r="J34" i="1" s="1"/>
  <c r="J9" i="1"/>
  <c r="J21" i="1"/>
  <c r="J37" i="1" s="1"/>
  <c r="I20" i="1"/>
  <c r="H23" i="1"/>
  <c r="H39" i="1" s="1"/>
  <c r="H40" i="1" l="1"/>
  <c r="H43" i="1" s="1"/>
  <c r="H46" i="1" s="1"/>
  <c r="J35" i="1"/>
  <c r="J36" i="1" s="1"/>
  <c r="J20" i="1"/>
  <c r="J23" i="1" s="1"/>
  <c r="J39" i="1" s="1"/>
  <c r="J40" i="1" s="1"/>
  <c r="I23" i="1"/>
  <c r="I39" i="1" s="1"/>
  <c r="J43" i="1" l="1"/>
  <c r="I40" i="1"/>
  <c r="I43" i="1" s="1"/>
  <c r="I46" i="1" s="1"/>
  <c r="J46" i="1" l="1"/>
  <c r="M12" i="1" l="1"/>
  <c r="M21" i="1" l="1"/>
  <c r="M16" i="1" s="1"/>
  <c r="M17" i="1" s="1"/>
  <c r="M18" i="1" s="1"/>
  <c r="C52" i="1" l="1"/>
</calcChain>
</file>

<file path=xl/sharedStrings.xml><?xml version="1.0" encoding="utf-8"?>
<sst xmlns="http://schemas.openxmlformats.org/spreadsheetml/2006/main" count="116" uniqueCount="105">
  <si>
    <t>Tesla's Financial Performance</t>
  </si>
  <si>
    <t>Key Financials</t>
  </si>
  <si>
    <t>Income Statement</t>
  </si>
  <si>
    <t>Revenue</t>
  </si>
  <si>
    <t>Gross Profit</t>
  </si>
  <si>
    <t>EBITDA</t>
  </si>
  <si>
    <t>EBIT</t>
  </si>
  <si>
    <t>Net Income</t>
  </si>
  <si>
    <t>Key Drivers:</t>
  </si>
  <si>
    <t>Y/Y Revenue Growth</t>
  </si>
  <si>
    <t>Gross Profit Margin</t>
  </si>
  <si>
    <t>EBITDA Margin</t>
  </si>
  <si>
    <t>EBIT Margin</t>
  </si>
  <si>
    <t>Effective Tax Rate</t>
  </si>
  <si>
    <t>Net Income Margin</t>
  </si>
  <si>
    <t>Balance Sheet &amp; Cash Flow</t>
  </si>
  <si>
    <t>Gross PP&amp;E</t>
  </si>
  <si>
    <t>Capital Spending</t>
  </si>
  <si>
    <t>Increase/(Decrease) in NOC</t>
  </si>
  <si>
    <t>Depreciation and &amp; Amortization</t>
  </si>
  <si>
    <t>Capital Spending % of Revenue</t>
  </si>
  <si>
    <t>NOC Investment % of New Revenue</t>
  </si>
  <si>
    <t>For the Fiscal Period Ending ($MMs)</t>
  </si>
  <si>
    <t>Discounted Cash Flow (DCF) Analysis</t>
  </si>
  <si>
    <t>Less: Taxes</t>
  </si>
  <si>
    <t>Net Operating Profit Adj. For Tax</t>
  </si>
  <si>
    <t>Less: Capital Expenditure</t>
  </si>
  <si>
    <t>Less: Working Capital Requirements</t>
  </si>
  <si>
    <t>Add: Depreciation and Amortization</t>
  </si>
  <si>
    <t>Total Net Investment</t>
  </si>
  <si>
    <t>Unlevered Free Cash Flows:</t>
  </si>
  <si>
    <t>Discoun Period (n)</t>
  </si>
  <si>
    <t>Discount Rate</t>
  </si>
  <si>
    <t>PV of Unlevered Free Cash Flows:</t>
  </si>
  <si>
    <t>Terminal Value Analysis</t>
  </si>
  <si>
    <t>Terminal Value</t>
  </si>
  <si>
    <t>Discounted Period</t>
  </si>
  <si>
    <t>PV of Terminal Value</t>
  </si>
  <si>
    <t>Projected Period Value Analysis</t>
  </si>
  <si>
    <t>PV of Proj. Period FCFF</t>
  </si>
  <si>
    <t>Distribution of Value</t>
  </si>
  <si>
    <t>Period Cash Flow</t>
  </si>
  <si>
    <t>Teminal Cash Flow</t>
  </si>
  <si>
    <t>Total</t>
  </si>
  <si>
    <t>Implied TEV &amp; Equity Value</t>
  </si>
  <si>
    <t>Implied TEV</t>
  </si>
  <si>
    <t>Less: Debt</t>
  </si>
  <si>
    <t>Less: Pref.</t>
  </si>
  <si>
    <t>Less: Min. Int.</t>
  </si>
  <si>
    <t>Plus: Cash</t>
  </si>
  <si>
    <t>Implied Equity Value</t>
  </si>
  <si>
    <t>Implied Share Price</t>
  </si>
  <si>
    <t>Key Assumptions</t>
  </si>
  <si>
    <t>Stub Period</t>
  </si>
  <si>
    <t>Current Fiscal Year Ending</t>
  </si>
  <si>
    <t>Transaction/Valuation Date</t>
  </si>
  <si>
    <t>D&amp;A % of Revenue</t>
  </si>
  <si>
    <t>WC Requirement as a % of Incremental Revenue</t>
  </si>
  <si>
    <t>Estimated Gordon Growth Rate</t>
  </si>
  <si>
    <t>Gordon Growth Increment</t>
  </si>
  <si>
    <t>Discount Rate Increment</t>
  </si>
  <si>
    <t>Basic Shares</t>
  </si>
  <si>
    <t>Diluted Shares</t>
  </si>
  <si>
    <t>Actual Share Price</t>
  </si>
  <si>
    <t>Dilutive Shares</t>
  </si>
  <si>
    <t>Options Class</t>
  </si>
  <si>
    <t>Wgt Avg Ex. Price</t>
  </si>
  <si>
    <t>Convert. Class</t>
  </si>
  <si>
    <t>#Options</t>
  </si>
  <si>
    <t>Face Amount</t>
  </si>
  <si>
    <t>Cost of Capital worksheet</t>
  </si>
  <si>
    <t>Beta</t>
  </si>
  <si>
    <t>Risk Free Rate</t>
  </si>
  <si>
    <t>Equity Market Risk Premium</t>
  </si>
  <si>
    <t>Capital:</t>
  </si>
  <si>
    <t>Total Debt</t>
  </si>
  <si>
    <t>Total Equity</t>
  </si>
  <si>
    <t>Total Preferred</t>
  </si>
  <si>
    <t>Total Capital</t>
  </si>
  <si>
    <t>Capital Ratios:</t>
  </si>
  <si>
    <t>Debt to Total Capital</t>
  </si>
  <si>
    <t>Equity to Total Capital</t>
  </si>
  <si>
    <t>Preferred to Total Capital</t>
  </si>
  <si>
    <t>Cost of Capital</t>
  </si>
  <si>
    <t>Cost of Debt (after Tax)</t>
  </si>
  <si>
    <t>Cost of Equity</t>
  </si>
  <si>
    <t>WACC</t>
  </si>
  <si>
    <t>Cost of Debt</t>
  </si>
  <si>
    <t>Description</t>
  </si>
  <si>
    <t>Amount</t>
  </si>
  <si>
    <t>% of Total</t>
  </si>
  <si>
    <t>Interest Rate</t>
  </si>
  <si>
    <t>Weighted Rate</t>
  </si>
  <si>
    <t>Depreciation &amp; Amortization % of Gross PP&amp;E</t>
  </si>
  <si>
    <t>Other</t>
  </si>
  <si>
    <t>ESOP</t>
  </si>
  <si>
    <t>Conversion Price</t>
  </si>
  <si>
    <t xml:space="preserve">Share Price- Sensitivity </t>
  </si>
  <si>
    <t>Debt</t>
  </si>
  <si>
    <t>Gordon Growth Rate</t>
  </si>
  <si>
    <t>Projected (12 Months)</t>
  </si>
  <si>
    <t>Costs</t>
  </si>
  <si>
    <t>Weights</t>
  </si>
  <si>
    <t>Weighted</t>
  </si>
  <si>
    <t>Actual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</si>
</sst>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164" formatCode="&quot;$&quot;#,##0.00"/>
    <numFmt numFmtId="165" formatCode="&quot;$&quot;#,##0.0"/>
    <numFmt numFmtId="166" formatCode="0.00_);\(0.00\)"/>
    <numFmt numFmtId="167" formatCode="&quot;$&quot;#,##0.0_);\(&quot;$&quot;#,##0.0\)"/>
    <numFmt numFmtId="168" formatCode="0.0%"/>
    <numFmt numFmtId="169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70C0"/>
      <name val="Times New Roman"/>
      <family val="1"/>
    </font>
    <font>
      <b/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0"/>
      <color theme="3" tint="-0.249977111117893"/>
      <name val="Times New Roman"/>
      <family val="1"/>
    </font>
    <font>
      <b/>
      <sz val="10"/>
      <color theme="0"/>
      <name val="Times New Roman"/>
      <family val="1"/>
    </font>
    <font>
      <b/>
      <sz val="10"/>
      <color rgb="FF0070C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1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6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/>
    <xf numFmtId="165" fontId="4" fillId="2" borderId="0" xfId="0" applyNumberFormat="1" applyFont="1" applyFill="1"/>
    <xf numFmtId="0" fontId="5" fillId="2" borderId="4" xfId="0" applyFont="1" applyFill="1" applyBorder="1"/>
    <xf numFmtId="7" fontId="5" fillId="2" borderId="5" xfId="0" applyNumberFormat="1" applyFont="1" applyFill="1" applyBorder="1"/>
    <xf numFmtId="10" fontId="5" fillId="2" borderId="1" xfId="1" applyNumberFormat="1" applyFont="1" applyFill="1" applyBorder="1"/>
    <xf numFmtId="0" fontId="4" fillId="2" borderId="4" xfId="0" applyFont="1" applyFill="1" applyBorder="1" applyAlignment="1">
      <alignment horizontal="left" indent="1"/>
    </xf>
    <xf numFmtId="2" fontId="4" fillId="2" borderId="5" xfId="0" applyNumberFormat="1" applyFont="1" applyFill="1" applyBorder="1"/>
    <xf numFmtId="14" fontId="7" fillId="2" borderId="1" xfId="0" applyNumberFormat="1" applyFont="1" applyFill="1" applyBorder="1"/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10" fontId="4" fillId="2" borderId="5" xfId="0" applyNumberFormat="1" applyFont="1" applyFill="1" applyBorder="1"/>
    <xf numFmtId="0" fontId="5" fillId="5" borderId="6" xfId="0" applyFont="1" applyFill="1" applyBorder="1"/>
    <xf numFmtId="7" fontId="5" fillId="5" borderId="7" xfId="0" applyNumberFormat="1" applyFont="1" applyFill="1" applyBorder="1"/>
    <xf numFmtId="167" fontId="4" fillId="2" borderId="0" xfId="0" applyNumberFormat="1" applyFont="1" applyFill="1"/>
    <xf numFmtId="9" fontId="7" fillId="2" borderId="1" xfId="0" applyNumberFormat="1" applyFont="1" applyFill="1" applyBorder="1"/>
    <xf numFmtId="166" fontId="4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168" fontId="9" fillId="2" borderId="0" xfId="0" applyNumberFormat="1" applyFont="1" applyFill="1"/>
    <xf numFmtId="168" fontId="9" fillId="2" borderId="0" xfId="1" applyNumberFormat="1" applyFont="1" applyFill="1" applyBorder="1"/>
    <xf numFmtId="168" fontId="9" fillId="2" borderId="0" xfId="1" applyNumberFormat="1" applyFont="1" applyFill="1"/>
    <xf numFmtId="167" fontId="5" fillId="5" borderId="7" xfId="0" applyNumberFormat="1" applyFont="1" applyFill="1" applyBorder="1"/>
    <xf numFmtId="9" fontId="9" fillId="2" borderId="0" xfId="0" applyNumberFormat="1" applyFont="1" applyFill="1" applyAlignment="1">
      <alignment horizontal="right"/>
    </xf>
    <xf numFmtId="9" fontId="4" fillId="2" borderId="5" xfId="1" applyFont="1" applyFill="1" applyBorder="1"/>
    <xf numFmtId="9" fontId="4" fillId="2" borderId="5" xfId="0" applyNumberFormat="1" applyFont="1" applyFill="1" applyBorder="1"/>
    <xf numFmtId="0" fontId="7" fillId="2" borderId="1" xfId="0" applyFont="1" applyFill="1" applyBorder="1"/>
    <xf numFmtId="0" fontId="4" fillId="2" borderId="6" xfId="0" applyFont="1" applyFill="1" applyBorder="1"/>
    <xf numFmtId="9" fontId="4" fillId="2" borderId="9" xfId="0" applyNumberFormat="1" applyFont="1" applyFill="1" applyBorder="1"/>
    <xf numFmtId="2" fontId="10" fillId="5" borderId="1" xfId="0" applyNumberFormat="1" applyFont="1" applyFill="1" applyBorder="1"/>
    <xf numFmtId="167" fontId="4" fillId="2" borderId="0" xfId="0" applyNumberFormat="1" applyFont="1" applyFill="1" applyAlignment="1">
      <alignment horizontal="righ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164" fontId="7" fillId="2" borderId="1" xfId="0" applyNumberFormat="1" applyFont="1" applyFill="1" applyBorder="1"/>
    <xf numFmtId="0" fontId="6" fillId="3" borderId="2" xfId="0" applyFont="1" applyFill="1" applyBorder="1"/>
    <xf numFmtId="0" fontId="6" fillId="3" borderId="14" xfId="0" applyFont="1" applyFill="1" applyBorder="1"/>
    <xf numFmtId="0" fontId="6" fillId="3" borderId="3" xfId="0" applyFont="1" applyFill="1" applyBorder="1"/>
    <xf numFmtId="0" fontId="4" fillId="2" borderId="1" xfId="0" applyFont="1" applyFill="1" applyBorder="1"/>
    <xf numFmtId="168" fontId="9" fillId="2" borderId="0" xfId="1" applyNumberFormat="1" applyFont="1" applyFill="1" applyAlignment="1">
      <alignment horizontal="right"/>
    </xf>
    <xf numFmtId="2" fontId="4" fillId="2" borderId="3" xfId="0" applyNumberFormat="1" applyFont="1" applyFill="1" applyBorder="1"/>
    <xf numFmtId="169" fontId="4" fillId="2" borderId="15" xfId="0" applyNumberFormat="1" applyFont="1" applyFill="1" applyBorder="1"/>
    <xf numFmtId="0" fontId="4" fillId="2" borderId="15" xfId="0" applyFont="1" applyFill="1" applyBorder="1"/>
    <xf numFmtId="2" fontId="4" fillId="2" borderId="7" xfId="0" applyNumberFormat="1" applyFont="1" applyFill="1" applyBorder="1"/>
    <xf numFmtId="0" fontId="6" fillId="2" borderId="0" xfId="0" applyFont="1" applyFill="1"/>
    <xf numFmtId="0" fontId="4" fillId="2" borderId="0" xfId="0" applyFont="1" applyFill="1" applyAlignment="1">
      <alignment horizontal="left" indent="1"/>
    </xf>
    <xf numFmtId="165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/>
    <xf numFmtId="167" fontId="5" fillId="2" borderId="0" xfId="0" applyNumberFormat="1" applyFont="1" applyFill="1"/>
    <xf numFmtId="0" fontId="5" fillId="2" borderId="0" xfId="0" applyFont="1" applyFill="1" applyAlignment="1">
      <alignment horizontal="left" indent="2"/>
    </xf>
    <xf numFmtId="167" fontId="5" fillId="2" borderId="0" xfId="0" applyNumberFormat="1" applyFont="1" applyFill="1" applyAlignment="1">
      <alignment horizontal="right"/>
    </xf>
    <xf numFmtId="0" fontId="5" fillId="5" borderId="0" xfId="0" applyFont="1" applyFill="1"/>
    <xf numFmtId="167" fontId="5" fillId="5" borderId="0" xfId="0" applyNumberFormat="1" applyFont="1" applyFill="1"/>
    <xf numFmtId="2" fontId="4" fillId="2" borderId="0" xfId="0" applyNumberFormat="1" applyFont="1" applyFill="1"/>
    <xf numFmtId="10" fontId="7" fillId="2" borderId="0" xfId="0" applyNumberFormat="1" applyFont="1" applyFill="1"/>
    <xf numFmtId="10" fontId="4" fillId="2" borderId="0" xfId="0" applyNumberFormat="1" applyFont="1" applyFill="1"/>
    <xf numFmtId="0" fontId="4" fillId="5" borderId="0" xfId="0" applyFont="1" applyFill="1"/>
    <xf numFmtId="167" fontId="4" fillId="5" borderId="0" xfId="0" applyNumberFormat="1" applyFont="1" applyFill="1"/>
    <xf numFmtId="7" fontId="11" fillId="6" borderId="2" xfId="2" applyNumberFormat="1" applyFont="1" applyFill="1" applyBorder="1"/>
    <xf numFmtId="10" fontId="12" fillId="3" borderId="14" xfId="1" applyNumberFormat="1" applyFont="1" applyFill="1" applyBorder="1" applyAlignment="1">
      <alignment horizontal="center"/>
    </xf>
    <xf numFmtId="10" fontId="13" fillId="3" borderId="14" xfId="1" applyNumberFormat="1" applyFont="1" applyFill="1" applyBorder="1" applyAlignment="1">
      <alignment horizontal="center"/>
    </xf>
    <xf numFmtId="10" fontId="12" fillId="3" borderId="3" xfId="1" applyNumberFormat="1" applyFont="1" applyFill="1" applyBorder="1" applyAlignment="1">
      <alignment horizontal="center"/>
    </xf>
    <xf numFmtId="10" fontId="12" fillId="3" borderId="4" xfId="2" applyNumberFormat="1" applyFont="1" applyFill="1" applyBorder="1" applyAlignment="1">
      <alignment horizontal="center"/>
    </xf>
    <xf numFmtId="164" fontId="14" fillId="2" borderId="2" xfId="2" applyNumberFormat="1" applyFont="1" applyFill="1" applyBorder="1" applyAlignment="1">
      <alignment horizontal="center"/>
    </xf>
    <xf numFmtId="164" fontId="14" fillId="2" borderId="14" xfId="2" applyNumberFormat="1" applyFont="1" applyFill="1" applyBorder="1" applyAlignment="1">
      <alignment horizontal="center"/>
    </xf>
    <xf numFmtId="164" fontId="14" fillId="2" borderId="16" xfId="2" applyNumberFormat="1" applyFont="1" applyFill="1" applyBorder="1" applyAlignment="1">
      <alignment horizontal="center"/>
    </xf>
    <xf numFmtId="164" fontId="14" fillId="2" borderId="3" xfId="2" applyNumberFormat="1" applyFont="1" applyFill="1" applyBorder="1" applyAlignment="1">
      <alignment horizontal="center"/>
    </xf>
    <xf numFmtId="164" fontId="14" fillId="2" borderId="4" xfId="2" applyNumberFormat="1" applyFont="1" applyFill="1" applyBorder="1" applyAlignment="1">
      <alignment horizontal="center"/>
    </xf>
    <xf numFmtId="164" fontId="14" fillId="2" borderId="0" xfId="2" applyNumberFormat="1" applyFont="1" applyFill="1" applyBorder="1" applyAlignment="1">
      <alignment horizontal="center"/>
    </xf>
    <xf numFmtId="164" fontId="14" fillId="2" borderId="17" xfId="2" applyNumberFormat="1" applyFont="1" applyFill="1" applyBorder="1" applyAlignment="1">
      <alignment horizontal="center"/>
    </xf>
    <xf numFmtId="164" fontId="14" fillId="2" borderId="5" xfId="2" applyNumberFormat="1" applyFont="1" applyFill="1" applyBorder="1" applyAlignment="1">
      <alignment horizontal="center"/>
    </xf>
    <xf numFmtId="10" fontId="7" fillId="3" borderId="4" xfId="0" applyNumberFormat="1" applyFont="1" applyFill="1" applyBorder="1" applyAlignment="1">
      <alignment horizontal="center"/>
    </xf>
    <xf numFmtId="164" fontId="14" fillId="2" borderId="8" xfId="2" applyNumberFormat="1" applyFont="1" applyFill="1" applyBorder="1" applyAlignment="1">
      <alignment horizontal="center"/>
    </xf>
    <xf numFmtId="164" fontId="14" fillId="2" borderId="18" xfId="2" applyNumberFormat="1" applyFont="1" applyFill="1" applyBorder="1" applyAlignment="1">
      <alignment horizontal="center"/>
    </xf>
    <xf numFmtId="164" fontId="15" fillId="2" borderId="19" xfId="2" applyNumberFormat="1" applyFont="1" applyFill="1" applyBorder="1" applyAlignment="1">
      <alignment horizontal="center"/>
    </xf>
    <xf numFmtId="164" fontId="14" fillId="2" borderId="9" xfId="2" applyNumberFormat="1" applyFont="1" applyFill="1" applyBorder="1" applyAlignment="1">
      <alignment horizontal="center"/>
    </xf>
    <xf numFmtId="10" fontId="12" fillId="3" borderId="6" xfId="2" applyNumberFormat="1" applyFont="1" applyFill="1" applyBorder="1" applyAlignment="1">
      <alignment horizontal="center"/>
    </xf>
    <xf numFmtId="164" fontId="14" fillId="2" borderId="6" xfId="2" applyNumberFormat="1" applyFont="1" applyFill="1" applyBorder="1" applyAlignment="1">
      <alignment horizontal="center"/>
    </xf>
    <xf numFmtId="164" fontId="14" fillId="2" borderId="15" xfId="2" applyNumberFormat="1" applyFont="1" applyFill="1" applyBorder="1" applyAlignment="1">
      <alignment horizontal="center"/>
    </xf>
    <xf numFmtId="164" fontId="14" fillId="2" borderId="20" xfId="2" applyNumberFormat="1" applyFont="1" applyFill="1" applyBorder="1" applyAlignment="1">
      <alignment horizontal="center"/>
    </xf>
    <xf numFmtId="164" fontId="14" fillId="2" borderId="7" xfId="2" applyNumberFormat="1" applyFont="1" applyFill="1" applyBorder="1" applyAlignment="1">
      <alignment horizontal="center"/>
    </xf>
    <xf numFmtId="0" fontId="4" fillId="4" borderId="0" xfId="0" applyFont="1" applyFill="1"/>
    <xf numFmtId="0" fontId="4" fillId="4" borderId="1" xfId="0" applyFont="1" applyFill="1" applyBorder="1"/>
    <xf numFmtId="10" fontId="4" fillId="4" borderId="1" xfId="0" applyNumberFormat="1" applyFont="1" applyFill="1" applyBorder="1"/>
    <xf numFmtId="0" fontId="16" fillId="4" borderId="0" xfId="0" applyFont="1" applyFill="1"/>
    <xf numFmtId="164" fontId="4" fillId="4" borderId="1" xfId="0" applyNumberFormat="1" applyFont="1" applyFill="1" applyBorder="1"/>
    <xf numFmtId="0" fontId="4" fillId="4" borderId="7" xfId="0" applyFont="1" applyFill="1" applyBorder="1"/>
    <xf numFmtId="0" fontId="5" fillId="4" borderId="0" xfId="0" applyFont="1" applyFill="1" applyAlignment="1">
      <alignment horizontal="left" indent="1"/>
    </xf>
    <xf numFmtId="164" fontId="4" fillId="4" borderId="0" xfId="0" applyNumberFormat="1" applyFont="1" applyFill="1"/>
    <xf numFmtId="10" fontId="4" fillId="4" borderId="0" xfId="1" applyNumberFormat="1" applyFont="1" applyFill="1"/>
    <xf numFmtId="0" fontId="5" fillId="4" borderId="0" xfId="0" applyFont="1" applyFill="1"/>
    <xf numFmtId="10" fontId="4" fillId="4" borderId="0" xfId="0" applyNumberFormat="1" applyFont="1" applyFill="1"/>
    <xf numFmtId="0" fontId="4" fillId="4" borderId="15" xfId="0" applyFont="1" applyFill="1" applyBorder="1"/>
    <xf numFmtId="10" fontId="4" fillId="4" borderId="15" xfId="0" applyNumberFormat="1" applyFont="1" applyFill="1" applyBorder="1"/>
    <xf numFmtId="10" fontId="5" fillId="4" borderId="0" xfId="0" applyNumberFormat="1" applyFont="1" applyFill="1"/>
    <xf numFmtId="0" fontId="5" fillId="7" borderId="10" xfId="0" applyFont="1" applyFill="1" applyBorder="1"/>
    <xf numFmtId="7" fontId="5" fillId="7" borderId="11" xfId="0" applyNumberFormat="1" applyFont="1" applyFill="1" applyBorder="1"/>
    <xf numFmtId="0" fontId="5" fillId="7" borderId="12" xfId="0" applyFont="1" applyFill="1" applyBorder="1"/>
    <xf numFmtId="7" fontId="5" fillId="7" borderId="13" xfId="0" applyNumberFormat="1" applyFont="1" applyFill="1" applyBorder="1"/>
    <xf numFmtId="0" fontId="5" fillId="7" borderId="4" xfId="0" applyFont="1" applyFill="1" applyBorder="1"/>
    <xf numFmtId="167" fontId="5" fillId="7" borderId="5" xfId="0" applyNumberFormat="1" applyFont="1" applyFill="1" applyBorder="1"/>
    <xf numFmtId="0" fontId="10" fillId="2" borderId="1" xfId="0" applyFont="1" applyFill="1" applyBorder="1"/>
    <xf numFmtId="169" fontId="10" fillId="2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5" fillId="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5" xfId="0" applyFont="1" applyFill="1" applyBorder="1" applyAlignment="1">
      <alignment vertical="center" textRotation="90"/>
    </xf>
    <xf numFmtId="0" fontId="16" fillId="4" borderId="0" xfId="0" applyFont="1" applyFill="1" applyAlignment="1">
      <alignment horizontal="left"/>
    </xf>
  </cellXfs>
  <cellStyles count="3">
    <cellStyle name="******************************************" xfId="2" xr:uid="{46582FE5-7AFA-487C-98FF-1D96CE242C4B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5265-B821-4405-974D-5C46E542B356}">
  <dimension ref="A1:S58"/>
  <sheetViews>
    <sheetView tabSelected="1" zoomScale="86" zoomScaleNormal="100" workbookViewId="0">
      <selection activeCell="L24" sqref="L24"/>
    </sheetView>
  </sheetViews>
  <sheetFormatPr defaultRowHeight="15" x14ac:dyDescent="0.25"/>
  <cols>
    <col min="1" max="1" width="42" style="2" bestFit="1" customWidth="1"/>
    <col min="2" max="2" width="13" style="2" customWidth="1"/>
    <col min="3" max="3" width="12.85546875" style="2" customWidth="1"/>
    <col min="4" max="4" width="13" style="2" customWidth="1"/>
    <col min="5" max="5" width="13.140625" style="2" customWidth="1"/>
    <col min="6" max="10" width="13.28515625" style="2" bestFit="1" customWidth="1"/>
    <col min="11" max="11" width="3.28515625" style="2" customWidth="1"/>
    <col min="12" max="12" width="29.85546875" style="2" bestFit="1" customWidth="1"/>
    <col min="13" max="13" width="13.28515625" style="2" bestFit="1" customWidth="1"/>
    <col min="14" max="14" width="3.85546875" style="2" customWidth="1"/>
    <col min="15" max="15" width="13.7109375" style="2" bestFit="1" customWidth="1"/>
    <col min="16" max="16" width="13.28515625" style="2" bestFit="1" customWidth="1"/>
    <col min="17" max="17" width="16.42578125" style="2" bestFit="1" customWidth="1"/>
    <col min="18" max="18" width="15.5703125" style="2" customWidth="1"/>
    <col min="19" max="16384" width="9.140625" style="2"/>
  </cols>
  <sheetData>
    <row r="1" spans="1:18" ht="15.75" x14ac:dyDescent="0.25">
      <c r="A1" s="1" t="s">
        <v>0</v>
      </c>
    </row>
    <row r="2" spans="1:18" x14ac:dyDescent="0.25">
      <c r="A2" s="3" t="s">
        <v>1</v>
      </c>
      <c r="B2" s="115" t="s">
        <v>104</v>
      </c>
      <c r="C2" s="115"/>
      <c r="D2" s="115"/>
      <c r="E2" s="115"/>
      <c r="F2" s="115" t="s">
        <v>100</v>
      </c>
      <c r="G2" s="115"/>
      <c r="H2" s="115"/>
      <c r="I2" s="115"/>
      <c r="J2" s="115"/>
    </row>
    <row r="3" spans="1:18" ht="15.75" customHeight="1" x14ac:dyDescent="0.25">
      <c r="A3" s="4" t="s">
        <v>22</v>
      </c>
      <c r="B3" s="5">
        <v>2019</v>
      </c>
      <c r="C3" s="5">
        <v>2020</v>
      </c>
      <c r="D3" s="5">
        <v>2021</v>
      </c>
      <c r="E3" s="5">
        <v>2022</v>
      </c>
      <c r="F3" s="5">
        <v>2023</v>
      </c>
      <c r="G3" s="5">
        <v>2024</v>
      </c>
      <c r="H3" s="5">
        <v>2025</v>
      </c>
      <c r="I3" s="5">
        <v>2026</v>
      </c>
      <c r="J3" s="5">
        <v>2027</v>
      </c>
      <c r="L3" s="6" t="s">
        <v>34</v>
      </c>
      <c r="M3" s="7"/>
      <c r="O3" s="8" t="s">
        <v>52</v>
      </c>
      <c r="P3" s="9"/>
      <c r="Q3" s="9"/>
      <c r="R3" s="10"/>
    </row>
    <row r="4" spans="1:18" x14ac:dyDescent="0.25">
      <c r="A4" s="11" t="s">
        <v>2</v>
      </c>
      <c r="L4" s="12"/>
      <c r="M4" s="13"/>
      <c r="O4" s="12"/>
      <c r="R4" s="13"/>
    </row>
    <row r="5" spans="1:18" x14ac:dyDescent="0.25">
      <c r="A5" s="2" t="s">
        <v>3</v>
      </c>
      <c r="B5" s="14">
        <v>24578</v>
      </c>
      <c r="C5" s="14">
        <v>31536</v>
      </c>
      <c r="D5" s="14">
        <v>53823</v>
      </c>
      <c r="E5" s="14">
        <v>81462</v>
      </c>
      <c r="F5" s="14">
        <f>(F12+1)*E5</f>
        <v>97347.090000000011</v>
      </c>
      <c r="G5" s="14">
        <f>(G12+1)*F5</f>
        <v>120028.96197000002</v>
      </c>
      <c r="H5" s="14">
        <f>(H12+1)*G5</f>
        <v>149436.05765265002</v>
      </c>
      <c r="I5" s="14">
        <f>(I12+1)*H5</f>
        <v>170357.10572402104</v>
      </c>
      <c r="J5" s="14">
        <f>(J12+1)*I5</f>
        <v>187392.81629642315</v>
      </c>
      <c r="L5" s="15" t="s">
        <v>35</v>
      </c>
      <c r="M5" s="16">
        <f>(J43*(1+O12))/(F45-O12)</f>
        <v>333903.17222271755</v>
      </c>
      <c r="O5" s="17">
        <f>(O6-O7)/365</f>
        <v>0.18356164383561643</v>
      </c>
      <c r="P5" s="2" t="s">
        <v>53</v>
      </c>
      <c r="R5" s="13"/>
    </row>
    <row r="6" spans="1:18" x14ac:dyDescent="0.25">
      <c r="A6" s="2" t="s">
        <v>4</v>
      </c>
      <c r="B6" s="14">
        <v>4069</v>
      </c>
      <c r="C6" s="14">
        <v>6630</v>
      </c>
      <c r="D6" s="14">
        <v>13606</v>
      </c>
      <c r="E6" s="14">
        <v>20853</v>
      </c>
      <c r="F6" s="14">
        <f>F13*F5</f>
        <v>18009.211650000001</v>
      </c>
      <c r="G6" s="14">
        <f>G13*G5</f>
        <v>24365.879279910005</v>
      </c>
      <c r="H6" s="14">
        <f>H13*H5</f>
        <v>33324.240856540957</v>
      </c>
      <c r="I6" s="14">
        <f>I13*I5</f>
        <v>41737.490902385151</v>
      </c>
      <c r="J6" s="14">
        <f>J13*J5</f>
        <v>46848.204074105786</v>
      </c>
      <c r="L6" s="18" t="s">
        <v>36</v>
      </c>
      <c r="M6" s="19">
        <f>J44</f>
        <v>4.1835616438356169</v>
      </c>
      <c r="O6" s="20">
        <v>45291</v>
      </c>
      <c r="P6" s="21" t="s">
        <v>54</v>
      </c>
      <c r="Q6" s="21"/>
      <c r="R6" s="22"/>
    </row>
    <row r="7" spans="1:18" x14ac:dyDescent="0.25">
      <c r="A7" s="2" t="s">
        <v>5</v>
      </c>
      <c r="B7" s="14">
        <v>2172</v>
      </c>
      <c r="C7" s="14">
        <v>4273</v>
      </c>
      <c r="D7" s="14">
        <v>9434</v>
      </c>
      <c r="E7" s="14">
        <v>17439</v>
      </c>
      <c r="F7" s="14">
        <f>F14*F5</f>
        <v>15575.534400000002</v>
      </c>
      <c r="G7" s="14">
        <f>G14*G5</f>
        <v>20164.865610960005</v>
      </c>
      <c r="H7" s="14">
        <f>H14*H5</f>
        <v>31829.880280014455</v>
      </c>
      <c r="I7" s="14">
        <f>I14*I5</f>
        <v>39011.777210800821</v>
      </c>
      <c r="J7" s="14">
        <f>J14*J5</f>
        <v>44037.311829659433</v>
      </c>
      <c r="L7" s="18" t="s">
        <v>32</v>
      </c>
      <c r="M7" s="23">
        <f>F45</f>
        <v>0.13900000000000001</v>
      </c>
      <c r="O7" s="20">
        <v>45224</v>
      </c>
      <c r="P7" s="21" t="s">
        <v>55</v>
      </c>
      <c r="Q7" s="21"/>
      <c r="R7" s="22"/>
    </row>
    <row r="8" spans="1:18" x14ac:dyDescent="0.25">
      <c r="A8" s="2" t="s">
        <v>6</v>
      </c>
      <c r="B8" s="14">
        <v>80</v>
      </c>
      <c r="C8" s="14">
        <v>1951</v>
      </c>
      <c r="D8" s="14">
        <v>6523</v>
      </c>
      <c r="E8" s="14">
        <v>13692</v>
      </c>
      <c r="F8" s="14">
        <f>F15*F5</f>
        <v>11000.221170000001</v>
      </c>
      <c r="G8" s="14">
        <f>G15*G5</f>
        <v>14883.591284280003</v>
      </c>
      <c r="H8" s="14">
        <f>H15*H5</f>
        <v>25852.437973908451</v>
      </c>
      <c r="I8" s="14">
        <f>I15*I5</f>
        <v>32027.135876115954</v>
      </c>
      <c r="J8" s="14">
        <f>J15*J5</f>
        <v>36166.813545209669</v>
      </c>
      <c r="L8" s="24" t="s">
        <v>37</v>
      </c>
      <c r="M8" s="25">
        <f>M5/(1+M7)^M6</f>
        <v>193709.11681387993</v>
      </c>
      <c r="O8" s="12"/>
      <c r="P8" s="21"/>
      <c r="Q8" s="21"/>
      <c r="R8" s="22"/>
    </row>
    <row r="9" spans="1:18" x14ac:dyDescent="0.25">
      <c r="A9" s="2" t="s">
        <v>7</v>
      </c>
      <c r="B9" s="26">
        <v>-862</v>
      </c>
      <c r="C9" s="14">
        <v>721</v>
      </c>
      <c r="D9" s="14">
        <v>5519</v>
      </c>
      <c r="E9" s="14">
        <v>12556</v>
      </c>
      <c r="F9" s="14">
        <f>F5*F17</f>
        <v>9247.9735500000006</v>
      </c>
      <c r="G9" s="14">
        <f>G5*G17</f>
        <v>13083.156854730001</v>
      </c>
      <c r="H9" s="14">
        <f>H5*H17</f>
        <v>19127.815379539203</v>
      </c>
      <c r="I9" s="14">
        <f>I5*I17</f>
        <v>21464.995321226652</v>
      </c>
      <c r="J9" s="14">
        <f>J5*J17</f>
        <v>24361.066118535011</v>
      </c>
      <c r="O9" s="27">
        <v>0.08</v>
      </c>
      <c r="P9" s="21" t="s">
        <v>56</v>
      </c>
      <c r="Q9" s="21"/>
      <c r="R9" s="22"/>
    </row>
    <row r="10" spans="1:18" x14ac:dyDescent="0.25">
      <c r="B10" s="28"/>
      <c r="L10" s="6" t="s">
        <v>38</v>
      </c>
      <c r="M10" s="7"/>
      <c r="O10" s="27">
        <v>0.1</v>
      </c>
      <c r="P10" s="21" t="s">
        <v>57</v>
      </c>
      <c r="Q10" s="21"/>
      <c r="R10" s="22"/>
    </row>
    <row r="11" spans="1:18" x14ac:dyDescent="0.25">
      <c r="A11" s="29" t="s">
        <v>8</v>
      </c>
      <c r="B11" s="30"/>
      <c r="C11" s="30"/>
      <c r="D11" s="30"/>
      <c r="E11" s="30"/>
      <c r="F11" s="30"/>
      <c r="G11" s="30"/>
      <c r="H11" s="30"/>
      <c r="I11" s="30"/>
      <c r="J11" s="30"/>
      <c r="L11" s="12"/>
      <c r="M11" s="13"/>
      <c r="O11" s="12"/>
      <c r="R11" s="22"/>
    </row>
    <row r="12" spans="1:18" x14ac:dyDescent="0.25">
      <c r="A12" s="30" t="s">
        <v>9</v>
      </c>
      <c r="B12" s="31">
        <v>0.14499999999999999</v>
      </c>
      <c r="C12" s="31">
        <v>0.28299999999999997</v>
      </c>
      <c r="D12" s="31">
        <v>0.70699999999999996</v>
      </c>
      <c r="E12" s="31">
        <v>0.51400000000000001</v>
      </c>
      <c r="F12" s="32">
        <v>0.19500000000000001</v>
      </c>
      <c r="G12" s="33">
        <v>0.23300000000000001</v>
      </c>
      <c r="H12" s="33">
        <v>0.245</v>
      </c>
      <c r="I12" s="33">
        <v>0.14000000000000001</v>
      </c>
      <c r="J12" s="33">
        <v>0.1</v>
      </c>
      <c r="L12" s="24" t="s">
        <v>39</v>
      </c>
      <c r="M12" s="34">
        <f>SUM(F46:J46)</f>
        <v>42694.089903331413</v>
      </c>
      <c r="O12" s="27">
        <v>0.06</v>
      </c>
      <c r="P12" s="21" t="s">
        <v>58</v>
      </c>
      <c r="Q12" s="21"/>
      <c r="R12" s="22"/>
    </row>
    <row r="13" spans="1:18" x14ac:dyDescent="0.25">
      <c r="A13" s="30" t="s">
        <v>10</v>
      </c>
      <c r="B13" s="31">
        <v>0.16600000000000001</v>
      </c>
      <c r="C13" s="31">
        <v>0.21</v>
      </c>
      <c r="D13" s="31">
        <v>0.253</v>
      </c>
      <c r="E13" s="31">
        <v>0.25600000000000001</v>
      </c>
      <c r="F13" s="32">
        <v>0.185</v>
      </c>
      <c r="G13" s="33">
        <v>0.20300000000000001</v>
      </c>
      <c r="H13" s="33">
        <v>0.223</v>
      </c>
      <c r="I13" s="33">
        <v>0.245</v>
      </c>
      <c r="J13" s="33">
        <v>0.25</v>
      </c>
      <c r="O13" s="12"/>
      <c r="P13" s="21"/>
      <c r="Q13" s="21"/>
      <c r="R13" s="22"/>
    </row>
    <row r="14" spans="1:18" x14ac:dyDescent="0.25">
      <c r="A14" s="30" t="s">
        <v>11</v>
      </c>
      <c r="B14" s="31">
        <v>8.7999999999999995E-2</v>
      </c>
      <c r="C14" s="31">
        <v>0.13500000000000001</v>
      </c>
      <c r="D14" s="31">
        <v>0.17499999999999999</v>
      </c>
      <c r="E14" s="31">
        <v>0.214</v>
      </c>
      <c r="F14" s="32">
        <v>0.16</v>
      </c>
      <c r="G14" s="33">
        <v>0.16800000000000001</v>
      </c>
      <c r="H14" s="33">
        <v>0.21299999999999999</v>
      </c>
      <c r="I14" s="33">
        <v>0.22900000000000001</v>
      </c>
      <c r="J14" s="33">
        <v>0.23499999999999999</v>
      </c>
      <c r="L14" s="6" t="s">
        <v>40</v>
      </c>
      <c r="M14" s="7"/>
      <c r="O14" s="27">
        <v>0.01</v>
      </c>
      <c r="P14" s="21" t="s">
        <v>59</v>
      </c>
      <c r="Q14" s="21"/>
      <c r="R14" s="22"/>
    </row>
    <row r="15" spans="1:18" x14ac:dyDescent="0.25">
      <c r="A15" s="30" t="s">
        <v>12</v>
      </c>
      <c r="B15" s="31">
        <v>3.0000000000000001E-3</v>
      </c>
      <c r="C15" s="31">
        <v>6.2E-2</v>
      </c>
      <c r="D15" s="31">
        <v>0.121</v>
      </c>
      <c r="E15" s="31">
        <v>0.16800000000000001</v>
      </c>
      <c r="F15" s="32">
        <v>0.113</v>
      </c>
      <c r="G15" s="33">
        <v>0.124</v>
      </c>
      <c r="H15" s="33">
        <v>0.17299999999999999</v>
      </c>
      <c r="I15" s="33">
        <v>0.188</v>
      </c>
      <c r="J15" s="33">
        <v>0.193</v>
      </c>
      <c r="L15" s="12"/>
      <c r="M15" s="13"/>
      <c r="O15" s="27">
        <v>0.01</v>
      </c>
      <c r="P15" s="21" t="s">
        <v>60</v>
      </c>
      <c r="Q15" s="21"/>
      <c r="R15" s="22"/>
    </row>
    <row r="16" spans="1:18" x14ac:dyDescent="0.25">
      <c r="A16" s="30" t="s">
        <v>13</v>
      </c>
      <c r="B16" s="35">
        <v>0</v>
      </c>
      <c r="C16" s="31">
        <v>0.253</v>
      </c>
      <c r="D16" s="31">
        <v>0.11</v>
      </c>
      <c r="E16" s="31">
        <v>8.3000000000000004E-2</v>
      </c>
      <c r="F16" s="32">
        <v>0.18</v>
      </c>
      <c r="G16" s="33">
        <v>0.189</v>
      </c>
      <c r="H16" s="33">
        <v>0.19800000000000001</v>
      </c>
      <c r="I16" s="33">
        <v>0.20699999999999999</v>
      </c>
      <c r="J16" s="33">
        <v>0.216</v>
      </c>
      <c r="L16" s="12" t="s">
        <v>41</v>
      </c>
      <c r="M16" s="36">
        <f>M12/M21</f>
        <v>0.18059860733785499</v>
      </c>
      <c r="O16" s="12"/>
      <c r="P16" s="21"/>
      <c r="Q16" s="21"/>
      <c r="R16" s="22"/>
    </row>
    <row r="17" spans="1:18" x14ac:dyDescent="0.25">
      <c r="A17" s="30" t="s">
        <v>14</v>
      </c>
      <c r="B17" s="31">
        <v>-3.5000000000000003E-2</v>
      </c>
      <c r="C17" s="31">
        <v>2.3E-2</v>
      </c>
      <c r="D17" s="31">
        <v>0.10299999999999999</v>
      </c>
      <c r="E17" s="31">
        <v>0.154</v>
      </c>
      <c r="F17" s="32">
        <v>9.5000000000000001E-2</v>
      </c>
      <c r="G17" s="33">
        <v>0.109</v>
      </c>
      <c r="H17" s="33">
        <v>0.128</v>
      </c>
      <c r="I17" s="33">
        <v>0.126</v>
      </c>
      <c r="J17" s="33">
        <v>0.13</v>
      </c>
      <c r="L17" s="12" t="s">
        <v>42</v>
      </c>
      <c r="M17" s="37">
        <f>1-M16</f>
        <v>0.81940139266214507</v>
      </c>
      <c r="O17" s="38">
        <v>3178.9</v>
      </c>
      <c r="P17" s="21" t="s">
        <v>61</v>
      </c>
      <c r="Q17" s="21"/>
      <c r="R17" s="22"/>
    </row>
    <row r="18" spans="1:18" x14ac:dyDescent="0.25">
      <c r="L18" s="39" t="s">
        <v>43</v>
      </c>
      <c r="M18" s="40">
        <f>M17+M16</f>
        <v>1</v>
      </c>
      <c r="O18" s="41">
        <f>O17+R25+R31</f>
        <v>3536.002577586175</v>
      </c>
      <c r="P18" s="21" t="s">
        <v>62</v>
      </c>
      <c r="Q18" s="21"/>
      <c r="R18" s="22"/>
    </row>
    <row r="19" spans="1:18" x14ac:dyDescent="0.25">
      <c r="A19" s="11" t="s">
        <v>15</v>
      </c>
      <c r="O19" s="12"/>
      <c r="P19" s="21"/>
      <c r="Q19" s="21"/>
      <c r="R19" s="22"/>
    </row>
    <row r="20" spans="1:18" x14ac:dyDescent="0.25">
      <c r="A20" s="2" t="s">
        <v>16</v>
      </c>
      <c r="B20" s="42">
        <v>25062</v>
      </c>
      <c r="C20" s="42">
        <v>29893</v>
      </c>
      <c r="D20" s="42">
        <v>39867</v>
      </c>
      <c r="E20" s="42">
        <v>48134</v>
      </c>
      <c r="F20" s="14">
        <f>E20+F21</f>
        <v>56700.543919999996</v>
      </c>
      <c r="G20" s="14">
        <f>F20+G21</f>
        <v>65702.716067749992</v>
      </c>
      <c r="H20" s="14">
        <f t="shared" ref="H20:J20" si="0">G20+H21</f>
        <v>75565.495872824889</v>
      </c>
      <c r="I20" s="14">
        <f t="shared" si="0"/>
        <v>87831.207484954401</v>
      </c>
      <c r="J20" s="14">
        <f t="shared" si="0"/>
        <v>97388.241116071978</v>
      </c>
      <c r="L20" s="8" t="s">
        <v>44</v>
      </c>
      <c r="M20" s="10"/>
      <c r="O20" s="38">
        <v>212.43</v>
      </c>
      <c r="P20" s="43" t="s">
        <v>63</v>
      </c>
      <c r="Q20" s="43"/>
      <c r="R20" s="44"/>
    </row>
    <row r="21" spans="1:18" x14ac:dyDescent="0.25">
      <c r="A21" s="2" t="s">
        <v>17</v>
      </c>
      <c r="B21" s="42">
        <v>1432</v>
      </c>
      <c r="C21" s="42">
        <v>3232</v>
      </c>
      <c r="D21" s="42">
        <v>6514</v>
      </c>
      <c r="E21" s="42">
        <v>7163</v>
      </c>
      <c r="F21" s="14">
        <f>F26*F5</f>
        <v>8566.5439200000001</v>
      </c>
      <c r="G21" s="14">
        <f>G26*G5</f>
        <v>9002.1721477500014</v>
      </c>
      <c r="H21" s="14">
        <f>H26*H5</f>
        <v>9862.7798050749025</v>
      </c>
      <c r="I21" s="14">
        <f>I26*I5</f>
        <v>12265.711612129513</v>
      </c>
      <c r="J21" s="14">
        <f>J26*J5</f>
        <v>9557.0336311175797</v>
      </c>
      <c r="L21" s="110" t="s">
        <v>45</v>
      </c>
      <c r="M21" s="111">
        <f>M8+M12</f>
        <v>236403.20671721135</v>
      </c>
      <c r="Q21" s="21"/>
      <c r="R21" s="21"/>
    </row>
    <row r="22" spans="1:18" x14ac:dyDescent="0.25">
      <c r="A22" s="2" t="s">
        <v>18</v>
      </c>
      <c r="B22" s="42">
        <v>0</v>
      </c>
      <c r="C22" s="42">
        <v>1678</v>
      </c>
      <c r="D22" s="42">
        <v>-3858</v>
      </c>
      <c r="E22" s="42">
        <v>2365</v>
      </c>
      <c r="F22" s="14">
        <f>(F5-E5)*F28</f>
        <v>1588.5090000000012</v>
      </c>
      <c r="G22" s="14">
        <f>(G5-F5)*G28</f>
        <v>2268.1871970000007</v>
      </c>
      <c r="H22" s="14">
        <f>(H5-G5)*H28</f>
        <v>2940.7095682650006</v>
      </c>
      <c r="I22" s="14">
        <f>(I5-H5)*I28</f>
        <v>2092.1048071371015</v>
      </c>
      <c r="J22" s="14">
        <f>(J5-I5)*J28</f>
        <v>1703.5710572402111</v>
      </c>
      <c r="L22" s="12" t="s">
        <v>46</v>
      </c>
      <c r="M22" s="45">
        <f>'Cost of Capital'!B8-1840</f>
        <v>6347</v>
      </c>
      <c r="O22" s="46" t="s">
        <v>64</v>
      </c>
      <c r="P22" s="47"/>
      <c r="Q22" s="47"/>
      <c r="R22" s="48"/>
    </row>
    <row r="23" spans="1:18" x14ac:dyDescent="0.25">
      <c r="A23" s="2" t="s">
        <v>19</v>
      </c>
      <c r="B23" s="42">
        <v>2092</v>
      </c>
      <c r="C23" s="42">
        <v>2322</v>
      </c>
      <c r="D23" s="42">
        <v>2911</v>
      </c>
      <c r="E23" s="42">
        <v>3747</v>
      </c>
      <c r="F23" s="14">
        <f>F27*F20</f>
        <v>4536.0435135999996</v>
      </c>
      <c r="G23" s="14">
        <f t="shared" ref="G23:J23" si="1">G27*G20</f>
        <v>5256.2172854199998</v>
      </c>
      <c r="H23" s="14">
        <f t="shared" si="1"/>
        <v>6045.2396698259909</v>
      </c>
      <c r="I23" s="14">
        <f t="shared" si="1"/>
        <v>7026.4965987963524</v>
      </c>
      <c r="J23" s="14">
        <f t="shared" si="1"/>
        <v>7791.0592892857585</v>
      </c>
      <c r="L23" s="12" t="s">
        <v>47</v>
      </c>
      <c r="M23" s="45">
        <v>0</v>
      </c>
      <c r="O23" s="12"/>
      <c r="R23" s="13"/>
    </row>
    <row r="24" spans="1:18" x14ac:dyDescent="0.25">
      <c r="L24" s="12" t="s">
        <v>48</v>
      </c>
      <c r="M24" s="45">
        <v>1029</v>
      </c>
      <c r="O24" s="12" t="s">
        <v>65</v>
      </c>
      <c r="P24" s="2" t="s">
        <v>68</v>
      </c>
      <c r="Q24" s="2" t="s">
        <v>66</v>
      </c>
      <c r="R24" s="13" t="s">
        <v>64</v>
      </c>
    </row>
    <row r="25" spans="1:18" x14ac:dyDescent="0.25">
      <c r="A25" s="29" t="s">
        <v>8</v>
      </c>
      <c r="B25" s="30"/>
      <c r="C25" s="30"/>
      <c r="D25" s="30"/>
      <c r="E25" s="30"/>
      <c r="F25" s="30"/>
      <c r="G25" s="30"/>
      <c r="H25" s="30"/>
      <c r="I25" s="30"/>
      <c r="J25" s="30"/>
      <c r="L25" s="12" t="s">
        <v>49</v>
      </c>
      <c r="M25" s="45">
        <v>26077</v>
      </c>
      <c r="O25" s="12" t="s">
        <v>95</v>
      </c>
      <c r="P25" s="112">
        <v>304.89999999999998</v>
      </c>
      <c r="Q25" s="112">
        <v>25.68</v>
      </c>
      <c r="R25" s="19">
        <f>P25-(P25*Q25)/O20</f>
        <v>268.04159017087977</v>
      </c>
    </row>
    <row r="26" spans="1:18" ht="15.75" thickBot="1" x14ac:dyDescent="0.3">
      <c r="A26" s="30" t="s">
        <v>20</v>
      </c>
      <c r="B26" s="33">
        <v>5.8000000000000003E-2</v>
      </c>
      <c r="C26" s="33">
        <v>0.10199999999999999</v>
      </c>
      <c r="D26" s="33">
        <v>0.121</v>
      </c>
      <c r="E26" s="33">
        <v>8.7999999999999995E-2</v>
      </c>
      <c r="F26" s="32">
        <v>8.7999999999999995E-2</v>
      </c>
      <c r="G26" s="33">
        <v>7.4999999999999997E-2</v>
      </c>
      <c r="H26" s="33">
        <v>6.6000000000000003E-2</v>
      </c>
      <c r="I26" s="33">
        <v>7.1999999999999995E-2</v>
      </c>
      <c r="J26" s="33">
        <v>5.0999999999999997E-2</v>
      </c>
      <c r="L26" s="12"/>
      <c r="M26" s="13"/>
      <c r="O26" s="12"/>
      <c r="P26" s="49"/>
      <c r="Q26" s="49"/>
      <c r="R26" s="13"/>
    </row>
    <row r="27" spans="1:18" x14ac:dyDescent="0.25">
      <c r="A27" s="30" t="s">
        <v>93</v>
      </c>
      <c r="B27" s="33">
        <v>8.3000000000000004E-2</v>
      </c>
      <c r="C27" s="33">
        <v>7.8E-2</v>
      </c>
      <c r="D27" s="33">
        <v>7.2999999999999995E-2</v>
      </c>
      <c r="E27" s="33">
        <v>7.8E-2</v>
      </c>
      <c r="F27" s="32">
        <v>0.08</v>
      </c>
      <c r="G27" s="33">
        <v>0.08</v>
      </c>
      <c r="H27" s="33">
        <v>0.08</v>
      </c>
      <c r="I27" s="33">
        <v>0.08</v>
      </c>
      <c r="J27" s="33">
        <v>0.08</v>
      </c>
      <c r="L27" s="106" t="s">
        <v>50</v>
      </c>
      <c r="M27" s="107">
        <f>M21-M22-M23-M24+M25</f>
        <v>255104.20671721135</v>
      </c>
      <c r="O27" s="12"/>
      <c r="P27" s="49"/>
      <c r="Q27" s="49"/>
      <c r="R27" s="13"/>
    </row>
    <row r="28" spans="1:18" ht="15.75" thickBot="1" x14ac:dyDescent="0.3">
      <c r="A28" s="30" t="s">
        <v>21</v>
      </c>
      <c r="B28" s="50">
        <v>0</v>
      </c>
      <c r="C28" s="50">
        <v>0.24099999999999999</v>
      </c>
      <c r="D28" s="50">
        <v>0</v>
      </c>
      <c r="E28" s="50">
        <v>8.5999999999999993E-2</v>
      </c>
      <c r="F28" s="32">
        <v>0.1</v>
      </c>
      <c r="G28" s="33">
        <v>0.1</v>
      </c>
      <c r="H28" s="33">
        <v>0.1</v>
      </c>
      <c r="I28" s="33">
        <v>0.1</v>
      </c>
      <c r="J28" s="33">
        <v>0.1</v>
      </c>
      <c r="L28" s="108" t="s">
        <v>51</v>
      </c>
      <c r="M28" s="109">
        <f>M27/O18</f>
        <v>72.144802250499566</v>
      </c>
      <c r="O28" s="12" t="s">
        <v>43</v>
      </c>
      <c r="P28" s="2">
        <f>SUM(P25:P27)</f>
        <v>304.89999999999998</v>
      </c>
      <c r="R28" s="51">
        <f>SUM(R25:R27)</f>
        <v>268.04159017087977</v>
      </c>
    </row>
    <row r="29" spans="1:18" x14ac:dyDescent="0.25">
      <c r="O29" s="12"/>
      <c r="R29" s="13"/>
    </row>
    <row r="30" spans="1:18" x14ac:dyDescent="0.25">
      <c r="A30" s="11" t="s">
        <v>23</v>
      </c>
      <c r="O30" s="12" t="s">
        <v>67</v>
      </c>
      <c r="P30" s="2" t="s">
        <v>69</v>
      </c>
      <c r="Q30" s="2" t="s">
        <v>96</v>
      </c>
      <c r="R30" s="13" t="s">
        <v>64</v>
      </c>
    </row>
    <row r="31" spans="1:18" x14ac:dyDescent="0.25">
      <c r="A31" s="4" t="s">
        <v>22</v>
      </c>
      <c r="B31" s="5">
        <v>2019</v>
      </c>
      <c r="C31" s="5">
        <v>2020</v>
      </c>
      <c r="D31" s="5">
        <v>2021</v>
      </c>
      <c r="E31" s="5">
        <v>2022</v>
      </c>
      <c r="F31" s="5">
        <v>2023</v>
      </c>
      <c r="G31" s="5">
        <v>2024</v>
      </c>
      <c r="H31" s="5">
        <v>2025</v>
      </c>
      <c r="I31" s="5">
        <v>2026</v>
      </c>
      <c r="J31" s="5">
        <v>2027</v>
      </c>
      <c r="O31" s="12" t="s">
        <v>98</v>
      </c>
      <c r="P31" s="113">
        <v>1840</v>
      </c>
      <c r="Q31" s="112">
        <v>20.66</v>
      </c>
      <c r="R31" s="19">
        <f>P31/Q31</f>
        <v>89.060987415295259</v>
      </c>
    </row>
    <row r="32" spans="1:18" x14ac:dyDescent="0.25">
      <c r="O32" s="12"/>
      <c r="P32" s="49"/>
      <c r="Q32" s="49"/>
      <c r="R32" s="19"/>
    </row>
    <row r="33" spans="1:19" ht="15" customHeight="1" x14ac:dyDescent="0.25">
      <c r="A33" s="2" t="s">
        <v>3</v>
      </c>
      <c r="B33" s="14">
        <f>B5</f>
        <v>24578</v>
      </c>
      <c r="C33" s="14">
        <f>C5</f>
        <v>31536</v>
      </c>
      <c r="D33" s="14">
        <f>D5</f>
        <v>53823</v>
      </c>
      <c r="E33" s="14">
        <f>E5</f>
        <v>81462</v>
      </c>
      <c r="F33" s="26">
        <f>F5*O5</f>
        <v>17869.191863013701</v>
      </c>
      <c r="G33" s="26">
        <f>G5</f>
        <v>120028.96197000002</v>
      </c>
      <c r="H33" s="26">
        <f>H5</f>
        <v>149436.05765265002</v>
      </c>
      <c r="I33" s="26">
        <f>I5</f>
        <v>170357.10572402104</v>
      </c>
      <c r="J33" s="26">
        <f>J5</f>
        <v>187392.81629642315</v>
      </c>
      <c r="O33" s="12"/>
      <c r="P33" s="49"/>
      <c r="Q33" s="49"/>
      <c r="R33" s="19"/>
    </row>
    <row r="34" spans="1:19" x14ac:dyDescent="0.25">
      <c r="A34" s="2" t="s">
        <v>6</v>
      </c>
      <c r="B34" s="14">
        <f>B8</f>
        <v>80</v>
      </c>
      <c r="C34" s="14">
        <f>C8</f>
        <v>1951</v>
      </c>
      <c r="D34" s="14">
        <f>D8</f>
        <v>6523</v>
      </c>
      <c r="E34" s="14">
        <f>E8</f>
        <v>13692</v>
      </c>
      <c r="F34" s="26">
        <f>F8*O5</f>
        <v>2019.2186805205481</v>
      </c>
      <c r="G34" s="26">
        <f>G8</f>
        <v>14883.591284280003</v>
      </c>
      <c r="H34" s="26">
        <f>H8</f>
        <v>25852.437973908451</v>
      </c>
      <c r="I34" s="26">
        <f>I8</f>
        <v>32027.135876115954</v>
      </c>
      <c r="J34" s="26">
        <f>J8</f>
        <v>36166.813545209669</v>
      </c>
      <c r="O34" s="39" t="s">
        <v>43</v>
      </c>
      <c r="P34" s="52">
        <f>SUM(P31:P33)</f>
        <v>1840</v>
      </c>
      <c r="Q34" s="53"/>
      <c r="R34" s="54">
        <f>SUM(R31:R33)</f>
        <v>89.060987415295259</v>
      </c>
      <c r="S34" s="55"/>
    </row>
    <row r="35" spans="1:19" x14ac:dyDescent="0.25">
      <c r="A35" s="56" t="s">
        <v>24</v>
      </c>
      <c r="B35" s="57">
        <v>0</v>
      </c>
      <c r="C35" s="26">
        <f>-C34*C16</f>
        <v>-493.60300000000001</v>
      </c>
      <c r="D35" s="26">
        <f t="shared" ref="D35:J35" si="2">-D34*D16</f>
        <v>-717.53</v>
      </c>
      <c r="E35" s="26">
        <f>-E34*E16</f>
        <v>-1136.4360000000001</v>
      </c>
      <c r="F35" s="26">
        <f>-F34*F16</f>
        <v>-363.45936249369862</v>
      </c>
      <c r="G35" s="26">
        <f t="shared" si="2"/>
        <v>-2812.9987527289204</v>
      </c>
      <c r="H35" s="26">
        <f t="shared" si="2"/>
        <v>-5118.7827188338733</v>
      </c>
      <c r="I35" s="26">
        <f t="shared" si="2"/>
        <v>-6629.6171263560018</v>
      </c>
      <c r="J35" s="26">
        <f t="shared" si="2"/>
        <v>-7812.0317257652887</v>
      </c>
    </row>
    <row r="36" spans="1:19" x14ac:dyDescent="0.25">
      <c r="A36" s="11" t="s">
        <v>25</v>
      </c>
      <c r="B36" s="58">
        <f>B34+B35</f>
        <v>80</v>
      </c>
      <c r="C36" s="59">
        <f>C34+C35</f>
        <v>1457.3969999999999</v>
      </c>
      <c r="D36" s="59">
        <f t="shared" ref="D36:E36" si="3">D34+D35</f>
        <v>5805.47</v>
      </c>
      <c r="E36" s="59">
        <f t="shared" si="3"/>
        <v>12555.564</v>
      </c>
      <c r="F36" s="59">
        <f>F34+F35</f>
        <v>1655.7593180268495</v>
      </c>
      <c r="G36" s="59">
        <f t="shared" ref="G36:J36" si="4">G34+G35</f>
        <v>12070.592531551083</v>
      </c>
      <c r="H36" s="59">
        <f t="shared" si="4"/>
        <v>20733.655255074576</v>
      </c>
      <c r="I36" s="59">
        <f t="shared" si="4"/>
        <v>25397.518749759951</v>
      </c>
      <c r="J36" s="59">
        <f t="shared" si="4"/>
        <v>28354.781819444379</v>
      </c>
    </row>
    <row r="37" spans="1:19" x14ac:dyDescent="0.25">
      <c r="A37" s="56" t="s">
        <v>26</v>
      </c>
      <c r="B37" s="42">
        <f>-B21</f>
        <v>-1432</v>
      </c>
      <c r="C37" s="42">
        <f t="shared" ref="C37:E38" si="5">-C21</f>
        <v>-3232</v>
      </c>
      <c r="D37" s="42">
        <f t="shared" si="5"/>
        <v>-6514</v>
      </c>
      <c r="E37" s="42">
        <f t="shared" si="5"/>
        <v>-7163</v>
      </c>
      <c r="F37" s="26">
        <f>-F21*O5</f>
        <v>-1572.4888839452055</v>
      </c>
      <c r="G37" s="26">
        <f t="shared" ref="G37:J38" si="6">-G21</f>
        <v>-9002.1721477500014</v>
      </c>
      <c r="H37" s="26">
        <f t="shared" si="6"/>
        <v>-9862.7798050749025</v>
      </c>
      <c r="I37" s="26">
        <f t="shared" si="6"/>
        <v>-12265.711612129513</v>
      </c>
      <c r="J37" s="26">
        <f t="shared" si="6"/>
        <v>-9557.0336311175797</v>
      </c>
    </row>
    <row r="38" spans="1:19" x14ac:dyDescent="0.25">
      <c r="A38" s="56" t="s">
        <v>27</v>
      </c>
      <c r="B38" s="42">
        <v>0</v>
      </c>
      <c r="C38" s="42">
        <f t="shared" si="5"/>
        <v>-1678</v>
      </c>
      <c r="D38" s="42">
        <f t="shared" si="5"/>
        <v>3858</v>
      </c>
      <c r="E38" s="42">
        <f t="shared" si="5"/>
        <v>-2365</v>
      </c>
      <c r="F38" s="26">
        <f>-F22*O5</f>
        <v>-291.58932328767145</v>
      </c>
      <c r="G38" s="26">
        <f t="shared" si="6"/>
        <v>-2268.1871970000007</v>
      </c>
      <c r="H38" s="26">
        <f t="shared" si="6"/>
        <v>-2940.7095682650006</v>
      </c>
      <c r="I38" s="26">
        <f t="shared" si="6"/>
        <v>-2092.1048071371015</v>
      </c>
      <c r="J38" s="26">
        <f t="shared" si="6"/>
        <v>-1703.5710572402111</v>
      </c>
    </row>
    <row r="39" spans="1:19" x14ac:dyDescent="0.25">
      <c r="A39" s="56" t="s">
        <v>28</v>
      </c>
      <c r="B39" s="42">
        <f>B23</f>
        <v>2092</v>
      </c>
      <c r="C39" s="42">
        <f t="shared" ref="C39:E39" si="7">C23</f>
        <v>2322</v>
      </c>
      <c r="D39" s="42">
        <f t="shared" si="7"/>
        <v>2911</v>
      </c>
      <c r="E39" s="42">
        <f t="shared" si="7"/>
        <v>3747</v>
      </c>
      <c r="F39" s="26">
        <f>F23*O5</f>
        <v>832.64360386630131</v>
      </c>
      <c r="G39" s="26">
        <f>G23</f>
        <v>5256.2172854199998</v>
      </c>
      <c r="H39" s="26">
        <f t="shared" ref="H39:I39" si="8">H23</f>
        <v>6045.2396698259909</v>
      </c>
      <c r="I39" s="26">
        <f t="shared" si="8"/>
        <v>7026.4965987963524</v>
      </c>
      <c r="J39" s="26">
        <f>J23</f>
        <v>7791.0592892857585</v>
      </c>
    </row>
    <row r="40" spans="1:19" x14ac:dyDescent="0.25">
      <c r="A40" s="60" t="s">
        <v>29</v>
      </c>
      <c r="B40" s="61">
        <f>SUM(B37:B39)</f>
        <v>660</v>
      </c>
      <c r="C40" s="61">
        <f>SUM(C37:C39)</f>
        <v>-2588</v>
      </c>
      <c r="D40" s="61">
        <f t="shared" ref="D40:J40" si="9">SUM(D37:D39)</f>
        <v>255</v>
      </c>
      <c r="E40" s="61">
        <f t="shared" si="9"/>
        <v>-5781</v>
      </c>
      <c r="F40" s="59">
        <f t="shared" si="9"/>
        <v>-1031.4346033665756</v>
      </c>
      <c r="G40" s="59">
        <f t="shared" si="9"/>
        <v>-6014.1420593300027</v>
      </c>
      <c r="H40" s="59">
        <f t="shared" si="9"/>
        <v>-6758.2497035139131</v>
      </c>
      <c r="I40" s="59">
        <f t="shared" si="9"/>
        <v>-7331.319820470263</v>
      </c>
      <c r="J40" s="59">
        <f t="shared" si="9"/>
        <v>-3469.5453990720325</v>
      </c>
    </row>
    <row r="43" spans="1:19" x14ac:dyDescent="0.25">
      <c r="A43" s="62" t="s">
        <v>30</v>
      </c>
      <c r="B43" s="63">
        <f>B40+B36</f>
        <v>740</v>
      </c>
      <c r="C43" s="63">
        <f t="shared" ref="C43:J43" si="10">C40+C36</f>
        <v>-1130.6030000000001</v>
      </c>
      <c r="D43" s="63">
        <f t="shared" si="10"/>
        <v>6060.47</v>
      </c>
      <c r="E43" s="63">
        <f t="shared" si="10"/>
        <v>6774.5640000000003</v>
      </c>
      <c r="F43" s="63">
        <f t="shared" si="10"/>
        <v>624.32471466027391</v>
      </c>
      <c r="G43" s="63">
        <f t="shared" si="10"/>
        <v>6056.4504722210804</v>
      </c>
      <c r="H43" s="63">
        <f t="shared" si="10"/>
        <v>13975.405551560663</v>
      </c>
      <c r="I43" s="63">
        <f t="shared" si="10"/>
        <v>18066.198929289687</v>
      </c>
      <c r="J43" s="63">
        <f t="shared" si="10"/>
        <v>24885.236420372348</v>
      </c>
    </row>
    <row r="44" spans="1:19" x14ac:dyDescent="0.25">
      <c r="A44" s="2" t="s">
        <v>31</v>
      </c>
      <c r="F44" s="64">
        <f>O5</f>
        <v>0.18356164383561643</v>
      </c>
      <c r="G44" s="64">
        <f>F44+1</f>
        <v>1.1835616438356165</v>
      </c>
      <c r="H44" s="64">
        <f>G44+1</f>
        <v>2.1835616438356165</v>
      </c>
      <c r="I44" s="64">
        <f t="shared" ref="I44:J44" si="11">H44+1</f>
        <v>3.1835616438356165</v>
      </c>
      <c r="J44" s="64">
        <f t="shared" si="11"/>
        <v>4.1835616438356169</v>
      </c>
    </row>
    <row r="45" spans="1:19" x14ac:dyDescent="0.25">
      <c r="A45" s="2" t="s">
        <v>32</v>
      </c>
      <c r="F45" s="65">
        <v>0.13900000000000001</v>
      </c>
      <c r="G45" s="66">
        <f>F45</f>
        <v>0.13900000000000001</v>
      </c>
      <c r="H45" s="66">
        <f t="shared" ref="H45:J45" si="12">G45</f>
        <v>0.13900000000000001</v>
      </c>
      <c r="I45" s="66">
        <f t="shared" si="12"/>
        <v>0.13900000000000001</v>
      </c>
      <c r="J45" s="66">
        <f t="shared" si="12"/>
        <v>0.13900000000000001</v>
      </c>
    </row>
    <row r="46" spans="1:19" x14ac:dyDescent="0.25">
      <c r="A46" s="62" t="s">
        <v>33</v>
      </c>
      <c r="B46" s="67"/>
      <c r="C46" s="67"/>
      <c r="D46" s="67"/>
      <c r="E46" s="67"/>
      <c r="F46" s="68">
        <f>F43/(1+F45)^F44</f>
        <v>609.58593737278647</v>
      </c>
      <c r="G46" s="68">
        <f>G43/(1+G45)^G44</f>
        <v>5191.8108088561721</v>
      </c>
      <c r="H46" s="68">
        <f>H43/(1+H45)^H44</f>
        <v>10518.19901007658</v>
      </c>
      <c r="I46" s="68">
        <f>I43/(1+I45)^I44</f>
        <v>11937.682610897091</v>
      </c>
      <c r="J46" s="68">
        <f>J43/(1+J45)^J44</f>
        <v>14436.811536128787</v>
      </c>
    </row>
    <row r="49" spans="1:8" x14ac:dyDescent="0.25">
      <c r="A49" s="11" t="s">
        <v>97</v>
      </c>
    </row>
    <row r="51" spans="1:8" x14ac:dyDescent="0.25">
      <c r="B51" s="116" t="s">
        <v>99</v>
      </c>
      <c r="C51" s="116"/>
      <c r="D51" s="116"/>
      <c r="E51" s="116"/>
      <c r="F51" s="116"/>
      <c r="G51" s="116"/>
      <c r="H51" s="116"/>
    </row>
    <row r="52" spans="1:8" x14ac:dyDescent="0.25">
      <c r="B52" s="117" t="s">
        <v>32</v>
      </c>
      <c r="C52" s="69">
        <f>M28</f>
        <v>72.144802250499566</v>
      </c>
      <c r="D52" s="70">
        <f t="shared" ref="D52" si="13">E52-$O$14</f>
        <v>3.9999999999999994E-2</v>
      </c>
      <c r="E52" s="70">
        <f>F52-$O$14</f>
        <v>4.9999999999999996E-2</v>
      </c>
      <c r="F52" s="71">
        <v>0.06</v>
      </c>
      <c r="G52" s="70">
        <f>F52+$O$14</f>
        <v>6.9999999999999993E-2</v>
      </c>
      <c r="H52" s="72">
        <f t="shared" ref="H52" si="14">G52+$O$14</f>
        <v>7.9999999999999988E-2</v>
      </c>
    </row>
    <row r="53" spans="1:8" x14ac:dyDescent="0.25">
      <c r="B53" s="117"/>
      <c r="C53" s="73">
        <f t="shared" ref="C53" si="15">C54-$O$15</f>
        <v>0.11900000000000001</v>
      </c>
      <c r="D53" s="74">
        <f t="dataTable" ref="D53:H57" dt2D="1" dtr="1" r1="O12" r2="F45"/>
        <v>75.90489677035653</v>
      </c>
      <c r="E53" s="75">
        <v>84.93098190702959</v>
      </c>
      <c r="F53" s="76">
        <v>97.016756920540928</v>
      </c>
      <c r="G53" s="75">
        <v>114.03550132732224</v>
      </c>
      <c r="H53" s="77">
        <v>139.78180696835031</v>
      </c>
    </row>
    <row r="54" spans="1:8" ht="15.75" thickBot="1" x14ac:dyDescent="0.3">
      <c r="B54" s="117"/>
      <c r="C54" s="73">
        <f>C55-$O$15</f>
        <v>0.129</v>
      </c>
      <c r="D54" s="78">
        <v>67.188090439750269</v>
      </c>
      <c r="E54" s="79">
        <v>73.990420297310436</v>
      </c>
      <c r="F54" s="80">
        <v>82.764439968656148</v>
      </c>
      <c r="G54" s="79">
        <v>94.512703596390253</v>
      </c>
      <c r="H54" s="81">
        <v>111.05617686809744</v>
      </c>
    </row>
    <row r="55" spans="1:8" ht="15.75" thickBot="1" x14ac:dyDescent="0.3">
      <c r="B55" s="117"/>
      <c r="C55" s="82">
        <v>0.13900000000000001</v>
      </c>
      <c r="D55" s="83">
        <v>60.252932385501857</v>
      </c>
      <c r="E55" s="84">
        <v>65.530784741315443</v>
      </c>
      <c r="F55" s="85">
        <v>72.144802250499566</v>
      </c>
      <c r="G55" s="84">
        <v>80.675926284084881</v>
      </c>
      <c r="H55" s="86">
        <v>92.098956769732979</v>
      </c>
    </row>
    <row r="56" spans="1:8" x14ac:dyDescent="0.25">
      <c r="B56" s="117"/>
      <c r="C56" s="73">
        <f>C55+$O$15</f>
        <v>0.14900000000000002</v>
      </c>
      <c r="D56" s="78">
        <v>54.608318691026177</v>
      </c>
      <c r="E56" s="79">
        <v>58.799485787407583</v>
      </c>
      <c r="F56" s="80">
        <v>63.932488186346617</v>
      </c>
      <c r="G56" s="79">
        <v>70.364984863498037</v>
      </c>
      <c r="H56" s="81">
        <v>78.661973331128152</v>
      </c>
    </row>
    <row r="57" spans="1:8" x14ac:dyDescent="0.25">
      <c r="B57" s="117"/>
      <c r="C57" s="87">
        <f t="shared" ref="C57" si="16">C56+$O$15</f>
        <v>0.15900000000000003</v>
      </c>
      <c r="D57" s="88">
        <v>49.928255657465748</v>
      </c>
      <c r="E57" s="89">
        <v>53.320148864100481</v>
      </c>
      <c r="F57" s="90">
        <v>57.397273021570498</v>
      </c>
      <c r="G57" s="89">
        <v>62.390604854876507</v>
      </c>
      <c r="H57" s="91">
        <v>68.648071329525777</v>
      </c>
    </row>
    <row r="58" spans="1:8" x14ac:dyDescent="0.25">
      <c r="C58" s="114"/>
    </row>
  </sheetData>
  <mergeCells count="4">
    <mergeCell ref="F2:J2"/>
    <mergeCell ref="B2:E2"/>
    <mergeCell ref="B51:H51"/>
    <mergeCell ref="B52:B57"/>
  </mergeCells>
  <pageMargins left="0.7" right="0.7" top="0.75" bottom="0.75" header="0.3" footer="0.3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A0E-6DE8-4D3A-845D-E7FDF94EF92E}">
  <dimension ref="A1:E29"/>
  <sheetViews>
    <sheetView topLeftCell="A12" workbookViewId="0">
      <selection activeCell="D21" sqref="D21"/>
    </sheetView>
  </sheetViews>
  <sheetFormatPr defaultRowHeight="15" x14ac:dyDescent="0.25"/>
  <cols>
    <col min="1" max="1" width="26.42578125" style="2" bestFit="1" customWidth="1"/>
    <col min="2" max="2" width="11.140625" style="2" bestFit="1" customWidth="1"/>
    <col min="3" max="3" width="11.28515625" style="2" customWidth="1"/>
    <col min="4" max="4" width="13.140625" style="2" customWidth="1"/>
    <col min="5" max="5" width="14.28515625" style="2" bestFit="1" customWidth="1"/>
    <col min="6" max="16384" width="9.140625" style="2"/>
  </cols>
  <sheetData>
    <row r="1" spans="1:2" x14ac:dyDescent="0.25">
      <c r="A1" s="4" t="s">
        <v>70</v>
      </c>
    </row>
    <row r="3" spans="1:2" x14ac:dyDescent="0.25">
      <c r="A3" s="92" t="s">
        <v>71</v>
      </c>
      <c r="B3" s="93">
        <v>1.71</v>
      </c>
    </row>
    <row r="4" spans="1:2" x14ac:dyDescent="0.25">
      <c r="A4" s="92" t="s">
        <v>72</v>
      </c>
      <c r="B4" s="94">
        <v>4.9500000000000002E-2</v>
      </c>
    </row>
    <row r="5" spans="1:2" x14ac:dyDescent="0.25">
      <c r="A5" s="92" t="s">
        <v>73</v>
      </c>
      <c r="B5" s="94">
        <v>5.2999999999999999E-2</v>
      </c>
    </row>
    <row r="7" spans="1:2" x14ac:dyDescent="0.25">
      <c r="A7" s="95" t="s">
        <v>74</v>
      </c>
      <c r="B7" s="92"/>
    </row>
    <row r="8" spans="1:2" x14ac:dyDescent="0.25">
      <c r="A8" s="92" t="s">
        <v>75</v>
      </c>
      <c r="B8" s="96">
        <v>8187</v>
      </c>
    </row>
    <row r="9" spans="1:2" x14ac:dyDescent="0.25">
      <c r="A9" s="92" t="s">
        <v>76</v>
      </c>
      <c r="B9" s="96">
        <f>3178.9*212.43</f>
        <v>675293.72700000007</v>
      </c>
    </row>
    <row r="10" spans="1:2" x14ac:dyDescent="0.25">
      <c r="A10" s="97" t="s">
        <v>77</v>
      </c>
      <c r="B10" s="96"/>
    </row>
    <row r="11" spans="1:2" x14ac:dyDescent="0.25">
      <c r="A11" s="98" t="s">
        <v>78</v>
      </c>
      <c r="B11" s="99">
        <f>B8+B9+B10</f>
        <v>683480.72700000007</v>
      </c>
    </row>
    <row r="13" spans="1:2" x14ac:dyDescent="0.25">
      <c r="A13" s="95" t="s">
        <v>79</v>
      </c>
      <c r="B13" s="92"/>
    </row>
    <row r="14" spans="1:2" x14ac:dyDescent="0.25">
      <c r="A14" s="92" t="s">
        <v>80</v>
      </c>
      <c r="B14" s="100">
        <f>B8/B11</f>
        <v>1.1978391893997032E-2</v>
      </c>
    </row>
    <row r="15" spans="1:2" x14ac:dyDescent="0.25">
      <c r="A15" s="92" t="s">
        <v>81</v>
      </c>
      <c r="B15" s="100">
        <f>B9/B11</f>
        <v>0.98802160810600292</v>
      </c>
    </row>
    <row r="16" spans="1:2" x14ac:dyDescent="0.25">
      <c r="A16" s="92" t="s">
        <v>82</v>
      </c>
      <c r="B16" s="100">
        <f>B10/B11</f>
        <v>0</v>
      </c>
    </row>
    <row r="18" spans="1:5" x14ac:dyDescent="0.25">
      <c r="A18" s="101" t="s">
        <v>83</v>
      </c>
      <c r="B18" s="101" t="s">
        <v>101</v>
      </c>
      <c r="C18" s="101" t="s">
        <v>102</v>
      </c>
      <c r="D18" s="101" t="s">
        <v>103</v>
      </c>
    </row>
    <row r="19" spans="1:5" x14ac:dyDescent="0.25">
      <c r="A19" s="92" t="s">
        <v>84</v>
      </c>
      <c r="B19" s="102">
        <v>4.4499999999999998E-2</v>
      </c>
      <c r="C19" s="102">
        <f>B14</f>
        <v>1.1978391893997032E-2</v>
      </c>
      <c r="D19" s="102">
        <f>B19*C19</f>
        <v>5.330384392828679E-4</v>
      </c>
    </row>
    <row r="20" spans="1:5" x14ac:dyDescent="0.25">
      <c r="A20" s="103" t="s">
        <v>85</v>
      </c>
      <c r="B20" s="104">
        <f>(B4+(B3*B5))</f>
        <v>0.14013</v>
      </c>
      <c r="C20" s="104">
        <f>B15</f>
        <v>0.98802160810600292</v>
      </c>
      <c r="D20" s="104">
        <f>B20*C20</f>
        <v>0.13845146794389421</v>
      </c>
    </row>
    <row r="21" spans="1:5" x14ac:dyDescent="0.25">
      <c r="A21" s="98" t="s">
        <v>86</v>
      </c>
      <c r="B21" s="102"/>
      <c r="C21" s="102"/>
      <c r="D21" s="105">
        <f>SUM(D19:D20)</f>
        <v>0.13898450638317708</v>
      </c>
    </row>
    <row r="23" spans="1:5" x14ac:dyDescent="0.25">
      <c r="A23" s="118" t="s">
        <v>87</v>
      </c>
      <c r="B23" s="118"/>
    </row>
    <row r="24" spans="1:5" x14ac:dyDescent="0.25">
      <c r="A24" s="4" t="s">
        <v>88</v>
      </c>
      <c r="B24" s="4" t="s">
        <v>89</v>
      </c>
      <c r="C24" s="4" t="s">
        <v>90</v>
      </c>
      <c r="D24" s="4" t="s">
        <v>91</v>
      </c>
      <c r="E24" s="4" t="s">
        <v>92</v>
      </c>
    </row>
    <row r="25" spans="1:5" ht="6" customHeight="1" x14ac:dyDescent="0.25">
      <c r="A25" s="92"/>
      <c r="B25" s="92"/>
      <c r="C25" s="92"/>
      <c r="D25" s="92"/>
      <c r="E25" s="92"/>
    </row>
    <row r="26" spans="1:5" x14ac:dyDescent="0.25">
      <c r="A26" s="93" t="s">
        <v>94</v>
      </c>
      <c r="B26" s="96">
        <v>8187</v>
      </c>
      <c r="C26" s="92"/>
      <c r="D26" s="93"/>
      <c r="E26" s="92"/>
    </row>
    <row r="27" spans="1:5" x14ac:dyDescent="0.25">
      <c r="A27" s="93"/>
      <c r="B27" s="93"/>
      <c r="C27" s="92"/>
      <c r="D27" s="93"/>
      <c r="E27" s="92"/>
    </row>
    <row r="28" spans="1:5" x14ac:dyDescent="0.25">
      <c r="A28" s="93"/>
      <c r="B28" s="93"/>
      <c r="C28" s="103"/>
      <c r="D28" s="93"/>
      <c r="E28" s="103"/>
    </row>
    <row r="29" spans="1:5" x14ac:dyDescent="0.25">
      <c r="A29" s="101" t="s">
        <v>43</v>
      </c>
      <c r="B29" s="99">
        <f>B26</f>
        <v>8187</v>
      </c>
      <c r="C29" s="92"/>
      <c r="D29" s="92"/>
      <c r="E29" s="92"/>
    </row>
  </sheetData>
  <mergeCells count="1"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Cost of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Tiwari</dc:creator>
  <cp:lastModifiedBy>Aditi Tiwari</cp:lastModifiedBy>
  <cp:lastPrinted>2024-10-07T18:35:44Z</cp:lastPrinted>
  <dcterms:created xsi:type="dcterms:W3CDTF">2023-11-03T15:40:59Z</dcterms:created>
  <dcterms:modified xsi:type="dcterms:W3CDTF">2024-12-09T15:59:04Z</dcterms:modified>
</cp:coreProperties>
</file>