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e6319cc83a4438/Desktop/Aditi/Github/"/>
    </mc:Choice>
  </mc:AlternateContent>
  <xr:revisionPtr revIDLastSave="0" documentId="8_{1EF28EF6-7FEB-4A24-84E4-7FA4E04514C2}" xr6:coauthVersionLast="47" xr6:coauthVersionMax="47" xr10:uidLastSave="{00000000-0000-0000-0000-000000000000}"/>
  <bookViews>
    <workbookView xWindow="-120" yWindow="-120" windowWidth="20730" windowHeight="11040" tabRatio="825" firstSheet="1" activeTab="1" xr2:uid="{1C88A761-3EF6-4E07-B7CC-2386E1CB8405}"/>
  </bookViews>
  <sheets>
    <sheet name="DCF - Original" sheetId="2" state="hidden" r:id="rId1"/>
    <sheet name="DCF " sheetId="48" r:id="rId2"/>
    <sheet name="Cost of Capital" sheetId="50" r:id="rId3"/>
  </sheets>
  <externalReferences>
    <externalReference r:id="rId4"/>
  </externalReferences>
  <definedNames>
    <definedName name="eight">#REF!</definedName>
    <definedName name="five">#REF!</definedName>
    <definedName name="four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  <definedName name="nine">#REF!</definedName>
    <definedName name="one">#REF!</definedName>
    <definedName name="P_SUBCO_NAME">'[1]Data Input'!$C$1</definedName>
    <definedName name="P_VAL_DATE">'[1]Data Input'!$G$4</definedName>
    <definedName name="_xlnm.Print_Area" localSheetId="1">'DCF '!$A$21:$V$75</definedName>
    <definedName name="_xlnm.Print_Area" localSheetId="0">'DCF - Original'!$A$1:$J$40,'DCF - Original'!$A$44:$J$83</definedName>
    <definedName name="seven">#REF!</definedName>
    <definedName name="six">#REF!</definedName>
    <definedName name="ten">#REF!</definedName>
    <definedName name="three">#REF!</definedName>
    <definedName name="two">#REF!</definedName>
  </definedNames>
  <calcPr calcId="191029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48" l="1"/>
  <c r="U34" i="48"/>
  <c r="P8" i="48"/>
  <c r="P7" i="48"/>
  <c r="P6" i="48"/>
  <c r="P9" i="48"/>
  <c r="H37" i="48"/>
  <c r="I36" i="48"/>
  <c r="E34" i="48"/>
  <c r="E31" i="48"/>
  <c r="H26" i="48"/>
  <c r="H24" i="48"/>
  <c r="R6" i="48"/>
  <c r="D20" i="50"/>
  <c r="D21" i="50"/>
  <c r="D22" i="50"/>
  <c r="I14" i="48"/>
  <c r="L46" i="48"/>
  <c r="D47" i="48"/>
  <c r="D48" i="48"/>
  <c r="D45" i="48"/>
  <c r="D44" i="48"/>
  <c r="F43" i="48"/>
  <c r="E43" i="48"/>
  <c r="H43" i="48"/>
  <c r="I43" i="48"/>
  <c r="U42" i="48"/>
  <c r="U37" i="48"/>
  <c r="U45" i="48"/>
  <c r="H36" i="48"/>
  <c r="C16" i="50"/>
  <c r="H35" i="48"/>
  <c r="I35" i="48"/>
  <c r="J35" i="48"/>
  <c r="K35" i="48"/>
  <c r="L35" i="48"/>
  <c r="H6" i="48"/>
  <c r="C9" i="50"/>
  <c r="R24" i="48"/>
  <c r="C10" i="50"/>
  <c r="C15" i="50"/>
  <c r="U41" i="48"/>
  <c r="U40" i="48"/>
  <c r="M26" i="2"/>
  <c r="M24" i="2"/>
  <c r="B24" i="2"/>
  <c r="G16" i="48"/>
  <c r="F16" i="48"/>
  <c r="E16" i="48"/>
  <c r="G30" i="48"/>
  <c r="F30" i="48"/>
  <c r="E30" i="48"/>
  <c r="G28" i="48"/>
  <c r="F28" i="48"/>
  <c r="F31" i="48"/>
  <c r="E28" i="48"/>
  <c r="G25" i="48"/>
  <c r="G27" i="48"/>
  <c r="F25" i="48"/>
  <c r="F27" i="48"/>
  <c r="E25" i="48"/>
  <c r="E27" i="48"/>
  <c r="G24" i="48"/>
  <c r="F24" i="48"/>
  <c r="E24" i="48"/>
  <c r="G17" i="48"/>
  <c r="F17" i="48"/>
  <c r="E17" i="48"/>
  <c r="G15" i="48"/>
  <c r="F15" i="48"/>
  <c r="E15" i="48"/>
  <c r="E14" i="48"/>
  <c r="G14" i="48"/>
  <c r="F14" i="48"/>
  <c r="G11" i="48"/>
  <c r="G18" i="48"/>
  <c r="F11" i="48"/>
  <c r="F18" i="48"/>
  <c r="F29" i="48"/>
  <c r="E11" i="48"/>
  <c r="E29" i="48"/>
  <c r="E18" i="48"/>
  <c r="G9" i="48"/>
  <c r="F9" i="48"/>
  <c r="E9" i="48"/>
  <c r="E22" i="48"/>
  <c r="F4" i="48"/>
  <c r="F22" i="48"/>
  <c r="G4" i="48"/>
  <c r="G22" i="48"/>
  <c r="H4" i="48"/>
  <c r="I4" i="48"/>
  <c r="J4" i="48"/>
  <c r="H22" i="48"/>
  <c r="M66" i="2"/>
  <c r="M64" i="2"/>
  <c r="B26" i="2"/>
  <c r="B69" i="2"/>
  <c r="S45" i="48"/>
  <c r="R45" i="48"/>
  <c r="S37" i="48"/>
  <c r="R44" i="48"/>
  <c r="R43" i="48"/>
  <c r="R42" i="48"/>
  <c r="A22" i="48"/>
  <c r="E18" i="2"/>
  <c r="D9" i="2"/>
  <c r="E9" i="2"/>
  <c r="E19" i="2"/>
  <c r="F9" i="2"/>
  <c r="F19" i="2"/>
  <c r="E11" i="2"/>
  <c r="F11" i="2"/>
  <c r="F17" i="2"/>
  <c r="E13" i="2"/>
  <c r="F13" i="2"/>
  <c r="F14" i="2"/>
  <c r="F15" i="2"/>
  <c r="F21" i="2"/>
  <c r="F24" i="2"/>
  <c r="B14" i="2"/>
  <c r="B23" i="2"/>
  <c r="F30" i="2"/>
  <c r="E30" i="2"/>
  <c r="H30" i="2"/>
  <c r="I30" i="2"/>
  <c r="D32" i="2"/>
  <c r="D31" i="2"/>
  <c r="D34" i="2"/>
  <c r="D35" i="2"/>
  <c r="D52" i="2"/>
  <c r="E52" i="2"/>
  <c r="B57" i="2"/>
  <c r="S68" i="2"/>
  <c r="S83" i="2"/>
  <c r="T68" i="2"/>
  <c r="T73" i="2"/>
  <c r="U74" i="2"/>
  <c r="U75" i="2"/>
  <c r="F62" i="2"/>
  <c r="S73" i="2"/>
  <c r="U68" i="2"/>
  <c r="V69" i="2"/>
  <c r="U83" i="2"/>
  <c r="U73" i="2"/>
  <c r="V68" i="2"/>
  <c r="W69" i="2"/>
  <c r="V73" i="2"/>
  <c r="V74" i="2"/>
  <c r="W68" i="2"/>
  <c r="X69" i="2"/>
  <c r="X75" i="2"/>
  <c r="I62" i="2"/>
  <c r="W73" i="2"/>
  <c r="W83" i="2"/>
  <c r="X68" i="2"/>
  <c r="X83" i="2"/>
  <c r="X84" i="2"/>
  <c r="X73" i="2"/>
  <c r="X74" i="2"/>
  <c r="B67" i="2"/>
  <c r="B66" i="2"/>
  <c r="F73" i="2"/>
  <c r="E73" i="2"/>
  <c r="H73" i="2"/>
  <c r="I73" i="2"/>
  <c r="D75" i="2"/>
  <c r="D74" i="2"/>
  <c r="D77" i="2"/>
  <c r="D78" i="2"/>
  <c r="F18" i="2"/>
  <c r="U69" i="2"/>
  <c r="G29" i="48"/>
  <c r="G31" i="48"/>
  <c r="E61" i="2"/>
  <c r="E60" i="2"/>
  <c r="E54" i="2"/>
  <c r="E56" i="2"/>
  <c r="F52" i="2"/>
  <c r="V75" i="2"/>
  <c r="G62" i="2"/>
  <c r="E15" i="2"/>
  <c r="E21" i="2"/>
  <c r="E24" i="2"/>
  <c r="V83" i="2"/>
  <c r="V84" i="2"/>
  <c r="W74" i="2"/>
  <c r="W75" i="2"/>
  <c r="H62" i="2"/>
  <c r="T74" i="2"/>
  <c r="E14" i="2"/>
  <c r="T83" i="2"/>
  <c r="T84" i="2"/>
  <c r="G9" i="2"/>
  <c r="E17" i="2"/>
  <c r="T69" i="2"/>
  <c r="H9" i="2"/>
  <c r="G19" i="2"/>
  <c r="G13" i="2"/>
  <c r="G17" i="2"/>
  <c r="G18" i="2"/>
  <c r="E58" i="2"/>
  <c r="E64" i="2"/>
  <c r="E67" i="2"/>
  <c r="E57" i="2"/>
  <c r="U84" i="2"/>
  <c r="F60" i="2"/>
  <c r="G52" i="2"/>
  <c r="F54" i="2"/>
  <c r="F61" i="2"/>
  <c r="T75" i="2"/>
  <c r="E62" i="2"/>
  <c r="W84" i="2"/>
  <c r="G11" i="2"/>
  <c r="G14" i="2"/>
  <c r="G15" i="2"/>
  <c r="G21" i="2"/>
  <c r="G24" i="2"/>
  <c r="F56" i="2"/>
  <c r="H52" i="2"/>
  <c r="G61" i="2"/>
  <c r="G54" i="2"/>
  <c r="G60" i="2"/>
  <c r="I9" i="2"/>
  <c r="H18" i="2"/>
  <c r="H17" i="2"/>
  <c r="H13" i="2"/>
  <c r="H19" i="2"/>
  <c r="G56" i="2"/>
  <c r="I52" i="2"/>
  <c r="H54" i="2"/>
  <c r="H56" i="2"/>
  <c r="H60" i="2"/>
  <c r="H61" i="2"/>
  <c r="F57" i="2"/>
  <c r="F58" i="2"/>
  <c r="F64" i="2"/>
  <c r="F67" i="2"/>
  <c r="H11" i="2"/>
  <c r="H14" i="2"/>
  <c r="H15" i="2"/>
  <c r="H21" i="2"/>
  <c r="H24" i="2"/>
  <c r="I17" i="2"/>
  <c r="I19" i="2"/>
  <c r="I18" i="2"/>
  <c r="I13" i="2"/>
  <c r="I14" i="2"/>
  <c r="I15" i="2"/>
  <c r="I21" i="2"/>
  <c r="I24" i="2"/>
  <c r="I11" i="2"/>
  <c r="M27" i="2"/>
  <c r="M28" i="2"/>
  <c r="H57" i="2"/>
  <c r="H58" i="2"/>
  <c r="H64" i="2"/>
  <c r="H67" i="2"/>
  <c r="I54" i="2"/>
  <c r="I61" i="2"/>
  <c r="I60" i="2"/>
  <c r="G57" i="2"/>
  <c r="G58" i="2"/>
  <c r="G64" i="2"/>
  <c r="G67" i="2"/>
  <c r="D30" i="2"/>
  <c r="B27" i="2"/>
  <c r="I56" i="2"/>
  <c r="M67" i="2"/>
  <c r="M68" i="2"/>
  <c r="B70" i="2"/>
  <c r="I57" i="2"/>
  <c r="I58" i="2"/>
  <c r="I64" i="2"/>
  <c r="I67" i="2"/>
  <c r="D73" i="2"/>
  <c r="F34" i="48"/>
  <c r="G34" i="48"/>
  <c r="J22" i="48"/>
  <c r="K4" i="48"/>
  <c r="I6" i="48"/>
  <c r="I11" i="48"/>
  <c r="H8" i="48"/>
  <c r="H11" i="48"/>
  <c r="H7" i="48"/>
  <c r="H10" i="48"/>
  <c r="I22" i="48"/>
  <c r="H14" i="48"/>
  <c r="J36" i="48"/>
  <c r="J37" i="48"/>
  <c r="K36" i="48"/>
  <c r="L36" i="48"/>
  <c r="L37" i="48"/>
  <c r="L47" i="48"/>
  <c r="L4" i="48"/>
  <c r="L22" i="48"/>
  <c r="K22" i="48"/>
  <c r="H28" i="48"/>
  <c r="H17" i="48"/>
  <c r="H15" i="48"/>
  <c r="H25" i="48"/>
  <c r="H9" i="48"/>
  <c r="H18" i="48"/>
  <c r="H29" i="48"/>
  <c r="H16" i="48"/>
  <c r="H30" i="48"/>
  <c r="I29" i="48"/>
  <c r="I18" i="48"/>
  <c r="I8" i="48"/>
  <c r="J6" i="48"/>
  <c r="I24" i="48"/>
  <c r="I10" i="48"/>
  <c r="I7" i="48"/>
  <c r="K6" i="48"/>
  <c r="J24" i="48"/>
  <c r="J14" i="48"/>
  <c r="J8" i="48"/>
  <c r="J10" i="48"/>
  <c r="J7" i="48"/>
  <c r="I16" i="48"/>
  <c r="I30" i="48"/>
  <c r="J11" i="48"/>
  <c r="H27" i="48"/>
  <c r="I25" i="48"/>
  <c r="I9" i="48"/>
  <c r="I15" i="48"/>
  <c r="I28" i="48"/>
  <c r="I17" i="48"/>
  <c r="H31" i="48"/>
  <c r="H34" i="48"/>
  <c r="J18" i="48"/>
  <c r="J29" i="48"/>
  <c r="K24" i="48"/>
  <c r="K14" i="48"/>
  <c r="L6" i="48"/>
  <c r="K10" i="48"/>
  <c r="K8" i="48"/>
  <c r="L11" i="48"/>
  <c r="K7" i="48"/>
  <c r="I31" i="48"/>
  <c r="J9" i="48"/>
  <c r="J15" i="48"/>
  <c r="J25" i="48"/>
  <c r="J28" i="48"/>
  <c r="J31" i="48"/>
  <c r="J17" i="48"/>
  <c r="I26" i="48"/>
  <c r="I27" i="48"/>
  <c r="K11" i="48"/>
  <c r="J16" i="48"/>
  <c r="J30" i="48"/>
  <c r="K9" i="48"/>
  <c r="K25" i="48"/>
  <c r="K15" i="48"/>
  <c r="L18" i="48"/>
  <c r="L29" i="48"/>
  <c r="K16" i="48"/>
  <c r="K30" i="48"/>
  <c r="J34" i="48"/>
  <c r="K28" i="48"/>
  <c r="K31" i="48"/>
  <c r="K17" i="48"/>
  <c r="J26" i="48"/>
  <c r="J27" i="48"/>
  <c r="L24" i="48"/>
  <c r="L14" i="48"/>
  <c r="L10" i="48"/>
  <c r="L7" i="48"/>
  <c r="L8" i="48"/>
  <c r="K18" i="48"/>
  <c r="K29" i="48"/>
  <c r="I34" i="48"/>
  <c r="I37" i="48"/>
  <c r="K26" i="48"/>
  <c r="K27" i="48"/>
  <c r="K34" i="48"/>
  <c r="L30" i="48"/>
  <c r="L16" i="48"/>
  <c r="L9" i="48"/>
  <c r="L15" i="48"/>
  <c r="L25" i="48"/>
  <c r="L28" i="48"/>
  <c r="L31" i="48"/>
  <c r="L17" i="48"/>
  <c r="L26" i="48"/>
  <c r="L27" i="48"/>
  <c r="L34" i="48"/>
  <c r="K37" i="48"/>
  <c r="P13" i="48"/>
  <c r="P23" i="48"/>
  <c r="P29" i="48"/>
  <c r="P30" i="48"/>
  <c r="D43" i="48"/>
  <c r="P17" i="48"/>
  <c r="P18" i="48"/>
  <c r="P19" i="48"/>
</calcChain>
</file>

<file path=xl/sharedStrings.xml><?xml version="1.0" encoding="utf-8"?>
<sst xmlns="http://schemas.openxmlformats.org/spreadsheetml/2006/main" count="206" uniqueCount="158">
  <si>
    <t>EBITDA</t>
  </si>
  <si>
    <t>EBIT</t>
  </si>
  <si>
    <t>Free Cash Flow</t>
  </si>
  <si>
    <t>EBIT Margin</t>
  </si>
  <si>
    <t>Discounted Cash Flow (DCF) Analysis</t>
  </si>
  <si>
    <t>11) 1.0% sensitivity on the discount rate</t>
  </si>
  <si>
    <t>BUILD ASSUMPTIONS IN HERE</t>
  </si>
  <si>
    <t>4)  EBITDA margins are expected to increase from 5% last year to 10% this year and remain that way for the next five years</t>
  </si>
  <si>
    <t>Changes in WC</t>
  </si>
  <si>
    <t>WC</t>
  </si>
  <si>
    <t>Beginning Revenue</t>
  </si>
  <si>
    <t>Plus:  D&amp;A</t>
  </si>
  <si>
    <t>Less:  CapEx</t>
  </si>
  <si>
    <t>Less:  Changes in Working Capital</t>
  </si>
  <si>
    <t>7) Below are projections for Current Assets and Current Liabilities over the forecast period.</t>
  </si>
  <si>
    <t>FYE 06</t>
  </si>
  <si>
    <t>FYE 07</t>
  </si>
  <si>
    <t>FYE 08</t>
  </si>
  <si>
    <t>FYE 09</t>
  </si>
  <si>
    <t>FYE 10</t>
  </si>
  <si>
    <t>FYE 11</t>
  </si>
  <si>
    <t>A/R</t>
  </si>
  <si>
    <t>Inventories</t>
  </si>
  <si>
    <t>Deferred Income Taxes</t>
  </si>
  <si>
    <t>A/P</t>
  </si>
  <si>
    <t>Accrued Comp</t>
  </si>
  <si>
    <t>EBITDA Margin</t>
  </si>
  <si>
    <t>THERE SHOULD BE NO HARDCODES ON THIS TAB</t>
  </si>
  <si>
    <t>BEST BUY CO. - EXAMPLE ONLY</t>
  </si>
  <si>
    <t>HOMEWORK</t>
  </si>
  <si>
    <t>PROBLEM SET</t>
  </si>
  <si>
    <t>Total</t>
  </si>
  <si>
    <t>Revenue</t>
  </si>
  <si>
    <t>Changes in Current Liabilities</t>
  </si>
  <si>
    <t>Revenue Growth</t>
  </si>
  <si>
    <t>PV of Terminal Value</t>
  </si>
  <si>
    <t>Terminal Value</t>
  </si>
  <si>
    <t>Less: Taxes</t>
  </si>
  <si>
    <t>Less: Capital Expenditures</t>
  </si>
  <si>
    <t>Less: Working Capital Requirements</t>
  </si>
  <si>
    <t>Add: Depreciation and Amortization</t>
  </si>
  <si>
    <t>Fiscal Year Ending ($MMs)</t>
  </si>
  <si>
    <t>($MMs)</t>
  </si>
  <si>
    <t>Source:</t>
  </si>
  <si>
    <t/>
  </si>
  <si>
    <t>Total Current Liabilities</t>
  </si>
  <si>
    <t>Total Current Assets</t>
  </si>
  <si>
    <t>CapEx % of Revenue</t>
  </si>
  <si>
    <t>Distribution of Value</t>
  </si>
  <si>
    <t>Period Cash Flow</t>
  </si>
  <si>
    <t>Terminal Cash Flow</t>
  </si>
  <si>
    <t>Accrued Liabilities</t>
  </si>
  <si>
    <t>9)  Terminal EBITDA multiple is based on trading multiples of comparable public companies.</t>
  </si>
  <si>
    <t>Capital Expenditures</t>
  </si>
  <si>
    <t>Transaction Date of 11/20/06</t>
  </si>
  <si>
    <t>Tax Rate</t>
  </si>
  <si>
    <t>Tax-effected EBIT</t>
  </si>
  <si>
    <t>Text is currently linked here</t>
  </si>
  <si>
    <t>10) 1.0x sensitivity on the terminal EBITDA multiple.</t>
  </si>
  <si>
    <t>Discounted Cash Flow (DCF) Analysis - Project AC/DC</t>
  </si>
  <si>
    <t>2)  Last FYE, the Company generated revenues of $185.7 million.</t>
  </si>
  <si>
    <t>3)  Management believes it can grow revenues by 20% For the next five years.</t>
  </si>
  <si>
    <t>6)  As AC/DC management looks to grow the business, CapEx is expected to be 5% of revenue for the forseeable future</t>
  </si>
  <si>
    <t>Changes in Current Assets</t>
  </si>
  <si>
    <t>Depreciation and Amortization</t>
  </si>
  <si>
    <t>8)  Discount rate is based on WACC of comparable public companies.</t>
  </si>
  <si>
    <t>WC as % of Incremental Revenue</t>
  </si>
  <si>
    <t>Discount Rate</t>
  </si>
  <si>
    <t>Assumed Transaction Date</t>
  </si>
  <si>
    <t>EBITDA Exit Multiple</t>
  </si>
  <si>
    <t>Terminal Multiple Increment</t>
  </si>
  <si>
    <t>Terminal EBITDA Multiple</t>
  </si>
  <si>
    <t>Discount Rate Increment</t>
  </si>
  <si>
    <t>5)  D&amp;A was 1% of revenues in FYE 2006 and is expected to remain constant over the forecast period.</t>
  </si>
  <si>
    <t>Total Net Investment</t>
  </si>
  <si>
    <t>Discount Period</t>
  </si>
  <si>
    <t>ASSUMPTIONS FOR LAST 3 YEARS</t>
  </si>
  <si>
    <t>TEV - Sensitivity Analysis</t>
  </si>
  <si>
    <t>D&amp;A % of Revenue</t>
  </si>
  <si>
    <t>Stub Period</t>
  </si>
  <si>
    <t>1)  AC/DC has a Fiscal Year-end (FYE) of February 25, 2007.</t>
  </si>
  <si>
    <t>Key Assumptions</t>
  </si>
  <si>
    <t>Transaction/Valuation Date</t>
  </si>
  <si>
    <t>Current Fiscal Year Ending</t>
  </si>
  <si>
    <t xml:space="preserve">Discounted Cash Flow (DCF) Analysis </t>
  </si>
  <si>
    <t>Terminal Value Analysis</t>
  </si>
  <si>
    <t>Projection Period Value Analysis</t>
  </si>
  <si>
    <t>Dilutive</t>
  </si>
  <si>
    <t>Options Class</t>
  </si>
  <si>
    <t>Shares</t>
  </si>
  <si>
    <t>Face Amount</t>
  </si>
  <si>
    <t>Conversion Price</t>
  </si>
  <si>
    <t>A</t>
  </si>
  <si>
    <t>B</t>
  </si>
  <si>
    <t>C</t>
  </si>
  <si>
    <t xml:space="preserve">Total </t>
  </si>
  <si>
    <t>Basic Shares</t>
  </si>
  <si>
    <t>Dilutive Shares</t>
  </si>
  <si>
    <t>Convert. Class</t>
  </si>
  <si>
    <t>#Options</t>
  </si>
  <si>
    <t>Implied Share Price</t>
  </si>
  <si>
    <t>Implied Equity Value</t>
  </si>
  <si>
    <t>Less: Debt</t>
  </si>
  <si>
    <t>Less: Pref.</t>
  </si>
  <si>
    <t>Less: Min. Int.</t>
  </si>
  <si>
    <t>Plus: Cash</t>
  </si>
  <si>
    <t>Implied TEV</t>
  </si>
  <si>
    <t>Implied TEV &amp; Equity Value</t>
  </si>
  <si>
    <t xml:space="preserve">Share Price- Sensitivity </t>
  </si>
  <si>
    <t>Total Debt</t>
  </si>
  <si>
    <t>Risk Free Rate</t>
  </si>
  <si>
    <t>Debt to Total Capital</t>
  </si>
  <si>
    <t>Equity to Total Capital</t>
  </si>
  <si>
    <t>Total Equity</t>
  </si>
  <si>
    <t>Total Preferred</t>
  </si>
  <si>
    <t>Total Capital</t>
  </si>
  <si>
    <t>Capital:</t>
  </si>
  <si>
    <t>Capital Ratios:</t>
  </si>
  <si>
    <t>Preferred to Total Capital</t>
  </si>
  <si>
    <t>Cost of Capital:</t>
  </si>
  <si>
    <t>Beta</t>
  </si>
  <si>
    <t>Cost of Debt</t>
  </si>
  <si>
    <t>Amount</t>
  </si>
  <si>
    <t>% of Total</t>
  </si>
  <si>
    <t>Interest Rate</t>
  </si>
  <si>
    <t>Description</t>
  </si>
  <si>
    <t>Cost of Equity</t>
  </si>
  <si>
    <t>WACC</t>
  </si>
  <si>
    <t>Cost of Capital Worksheet</t>
  </si>
  <si>
    <t>Weighted Rate</t>
  </si>
  <si>
    <t>Working Capital Investment</t>
  </si>
  <si>
    <t>Actual</t>
  </si>
  <si>
    <t>Projected</t>
  </si>
  <si>
    <t>Ratios:</t>
  </si>
  <si>
    <t>Capital Expenditures % of Revenue</t>
  </si>
  <si>
    <t>Working Capital Investment % of New Revenue</t>
  </si>
  <si>
    <t>Use Market Value for Public Companies</t>
  </si>
  <si>
    <t>Unlevered Free Cash Flows:</t>
  </si>
  <si>
    <t>PV of Unlevered Free Cash Flows:</t>
  </si>
  <si>
    <t>Other</t>
  </si>
  <si>
    <t>Actual Share Price</t>
  </si>
  <si>
    <t>Wgt Avg. Ex. Price</t>
  </si>
  <si>
    <t>Net Operating Profit Adj. For Tax</t>
  </si>
  <si>
    <t>Gordon Growth Increment</t>
  </si>
  <si>
    <t>Estimated Gordon Growth Rate</t>
  </si>
  <si>
    <t>Discount Period (n)</t>
  </si>
  <si>
    <t>Equity Market Risk Premium</t>
  </si>
  <si>
    <t>Cost of Debt (after tax)</t>
  </si>
  <si>
    <t>Weighted</t>
  </si>
  <si>
    <t>PV of Proj. Period FCFF</t>
  </si>
  <si>
    <t>Diluted Shares</t>
  </si>
  <si>
    <t>Gordon Growth Rate</t>
  </si>
  <si>
    <t>WC Requirement as a % if Incremental Revenue</t>
  </si>
  <si>
    <t>Full Year Financial Projections</t>
  </si>
  <si>
    <t>FCFt * (1+G)/(r-g)</t>
  </si>
  <si>
    <t>Select table and use Alt D and T</t>
  </si>
  <si>
    <t>Row input cell</t>
  </si>
  <si>
    <t>Column input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</si>
</sst>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_);\(&quot;$&quot;#,##0\)"/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_);\(#,##0.0\)"/>
    <numFmt numFmtId="167" formatCode="&quot;$&quot;#,##0.0_);\(&quot;$&quot;#,##0.0\)"/>
    <numFmt numFmtId="168" formatCode="mm/dd/yy;@"/>
    <numFmt numFmtId="169" formatCode="0.0\x"/>
    <numFmt numFmtId="170" formatCode="&quot;$&quot;#,##0"/>
    <numFmt numFmtId="171" formatCode="m/d/yy;@"/>
    <numFmt numFmtId="172" formatCode="&quot;$&quot;#,##0.00"/>
    <numFmt numFmtId="173" formatCode="#,##0.000_);\(#,##0.000\)"/>
    <numFmt numFmtId="174" formatCode="&quot;$&quot;#,##0.0_);[Red]\(&quot;$&quot;#,##0.0\)"/>
    <numFmt numFmtId="175" formatCode="0.0\x\ "/>
    <numFmt numFmtId="176" formatCode="&quot;$&quot;#,##0.0"/>
    <numFmt numFmtId="177" formatCode="#,##0.000_);[Red]\(#,##0.000\)"/>
    <numFmt numFmtId="179" formatCode="_(* #,##0.000_);_(* \(#,##0.000\);_(* &quot;-&quot;??_);_(@_)"/>
    <numFmt numFmtId="182" formatCode="0.0"/>
    <numFmt numFmtId="190" formatCode="_(* #,##0.0_);_(* \(#,##0.0\);_(* &quot;-&quot;??_);_(@_)"/>
  </numFmts>
  <fonts count="4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indexed="13"/>
      <name val="Arial"/>
      <family val="2"/>
    </font>
    <font>
      <sz val="10"/>
      <color indexed="17"/>
      <name val="Arial"/>
      <family val="2"/>
    </font>
    <font>
      <b/>
      <sz val="18"/>
      <color indexed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u val="singleAccounting"/>
      <sz val="8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color rgb="FF0000FF"/>
      <name val="Arial"/>
      <family val="2"/>
    </font>
    <font>
      <u/>
      <sz val="8"/>
      <color rgb="FF0000FF"/>
      <name val="Arial"/>
      <family val="2"/>
    </font>
    <font>
      <sz val="10"/>
      <color rgb="FF0000FF"/>
      <name val="Arial"/>
      <family val="2"/>
    </font>
    <font>
      <sz val="10"/>
      <color rgb="FF0000CC"/>
      <name val="Arial"/>
      <family val="2"/>
    </font>
    <font>
      <b/>
      <sz val="12"/>
      <color theme="0"/>
      <name val="Arial"/>
      <family val="2"/>
    </font>
    <font>
      <sz val="10"/>
      <color rgb="FF0070C0"/>
      <name val="Arial"/>
      <family val="2"/>
    </font>
    <font>
      <sz val="10"/>
      <color theme="3" tint="-0.249977111117893"/>
      <name val="Arial"/>
      <family val="2"/>
    </font>
    <font>
      <b/>
      <sz val="10"/>
      <color theme="3" tint="0.59999389629810485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</cellStyleXfs>
  <cellXfs count="400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 applyAlignment="1">
      <alignment horizontal="left" indent="1"/>
    </xf>
    <xf numFmtId="0" fontId="0" fillId="0" borderId="0" xfId="1" applyFont="1" applyBorder="1"/>
    <xf numFmtId="0" fontId="0" fillId="0" borderId="2" xfId="1" applyFont="1" applyBorder="1"/>
    <xf numFmtId="0" fontId="0" fillId="0" borderId="3" xfId="1" applyFont="1" applyBorder="1"/>
    <xf numFmtId="0" fontId="0" fillId="0" borderId="0" xfId="1" applyFont="1" applyAlignment="1">
      <alignment horizontal="left"/>
    </xf>
    <xf numFmtId="0" fontId="5" fillId="0" borderId="0" xfId="1" applyFont="1" applyBorder="1"/>
    <xf numFmtId="0" fontId="2" fillId="0" borderId="0" xfId="1" applyFont="1" applyBorder="1"/>
    <xf numFmtId="5" fontId="2" fillId="0" borderId="0" xfId="1" applyNumberFormat="1" applyFont="1"/>
    <xf numFmtId="5" fontId="2" fillId="0" borderId="3" xfId="1" applyNumberFormat="1" applyFont="1" applyBorder="1"/>
    <xf numFmtId="5" fontId="2" fillId="0" borderId="4" xfId="1" applyNumberFormat="1" applyFont="1" applyBorder="1"/>
    <xf numFmtId="0" fontId="2" fillId="0" borderId="2" xfId="1" applyFont="1" applyBorder="1"/>
    <xf numFmtId="5" fontId="0" fillId="0" borderId="0" xfId="1" applyNumberFormat="1" applyFont="1"/>
    <xf numFmtId="37" fontId="0" fillId="0" borderId="0" xfId="1" applyNumberFormat="1" applyFont="1"/>
    <xf numFmtId="0" fontId="2" fillId="0" borderId="0" xfId="1" applyFont="1" applyAlignment="1">
      <alignment horizontal="left" indent="2"/>
    </xf>
    <xf numFmtId="37" fontId="0" fillId="0" borderId="2" xfId="1" applyNumberFormat="1" applyFont="1" applyBorder="1"/>
    <xf numFmtId="37" fontId="0" fillId="0" borderId="0" xfId="1" applyNumberFormat="1" applyFont="1" applyBorder="1"/>
    <xf numFmtId="165" fontId="6" fillId="0" borderId="0" xfId="5" applyNumberFormat="1" applyFont="1" applyBorder="1" applyAlignment="1">
      <alignment horizontal="right"/>
    </xf>
    <xf numFmtId="0" fontId="2" fillId="0" borderId="5" xfId="1" applyFont="1" applyBorder="1" applyAlignment="1">
      <alignment horizontal="left"/>
    </xf>
    <xf numFmtId="164" fontId="5" fillId="0" borderId="0" xfId="1" applyNumberFormat="1" applyFont="1" applyBorder="1"/>
    <xf numFmtId="0" fontId="2" fillId="0" borderId="2" xfId="1" applyFont="1" applyBorder="1" applyAlignment="1">
      <alignment horizontal="centerContinuous"/>
    </xf>
    <xf numFmtId="0" fontId="0" fillId="0" borderId="2" xfId="1" applyFont="1" applyBorder="1" applyAlignment="1">
      <alignment horizontal="centerContinuous"/>
    </xf>
    <xf numFmtId="37" fontId="0" fillId="0" borderId="6" xfId="1" applyNumberFormat="1" applyFont="1" applyBorder="1" applyAlignment="1">
      <alignment horizontal="center"/>
    </xf>
    <xf numFmtId="37" fontId="0" fillId="0" borderId="0" xfId="1" applyNumberFormat="1" applyFont="1" applyAlignment="1">
      <alignment horizontal="center"/>
    </xf>
    <xf numFmtId="37" fontId="0" fillId="0" borderId="7" xfId="1" applyNumberFormat="1" applyFont="1" applyBorder="1" applyAlignment="1">
      <alignment horizontal="center"/>
    </xf>
    <xf numFmtId="37" fontId="0" fillId="0" borderId="8" xfId="1" applyNumberFormat="1" applyFont="1" applyFill="1" applyBorder="1" applyAlignment="1">
      <alignment horizontal="center"/>
    </xf>
    <xf numFmtId="37" fontId="0" fillId="0" borderId="9" xfId="1" applyNumberFormat="1" applyFont="1" applyFill="1" applyBorder="1" applyAlignment="1">
      <alignment horizontal="center"/>
    </xf>
    <xf numFmtId="37" fontId="0" fillId="0" borderId="10" xfId="1" applyNumberFormat="1" applyFont="1" applyFill="1" applyBorder="1" applyAlignment="1">
      <alignment horizontal="center"/>
    </xf>
    <xf numFmtId="37" fontId="0" fillId="0" borderId="11" xfId="1" applyNumberFormat="1" applyFont="1" applyFill="1" applyBorder="1" applyAlignment="1">
      <alignment horizontal="center"/>
    </xf>
    <xf numFmtId="37" fontId="0" fillId="0" borderId="12" xfId="1" applyNumberFormat="1" applyFont="1" applyFill="1" applyBorder="1" applyAlignment="1">
      <alignment horizontal="center"/>
    </xf>
    <xf numFmtId="37" fontId="0" fillId="0" borderId="13" xfId="1" applyNumberFormat="1" applyFont="1" applyFill="1" applyBorder="1" applyAlignment="1">
      <alignment horizontal="center"/>
    </xf>
    <xf numFmtId="37" fontId="0" fillId="0" borderId="1" xfId="1" applyNumberFormat="1" applyFont="1" applyFill="1" applyBorder="1" applyAlignment="1">
      <alignment horizontal="center"/>
    </xf>
    <xf numFmtId="0" fontId="11" fillId="0" borderId="0" xfId="1" applyFont="1"/>
    <xf numFmtId="0" fontId="0" fillId="2" borderId="0" xfId="1" applyFont="1" applyFill="1" applyBorder="1"/>
    <xf numFmtId="0" fontId="0" fillId="3" borderId="0" xfId="1" applyFont="1" applyFill="1" applyBorder="1"/>
    <xf numFmtId="165" fontId="6" fillId="0" borderId="14" xfId="5" applyNumberFormat="1" applyFont="1" applyBorder="1" applyAlignment="1">
      <alignment horizontal="center"/>
    </xf>
    <xf numFmtId="168" fontId="6" fillId="0" borderId="14" xfId="1" applyNumberFormat="1" applyFont="1" applyBorder="1" applyAlignment="1">
      <alignment horizontal="center"/>
    </xf>
    <xf numFmtId="165" fontId="1" fillId="0" borderId="14" xfId="5" applyNumberFormat="1" applyFont="1" applyBorder="1" applyAlignment="1">
      <alignment horizontal="center"/>
    </xf>
    <xf numFmtId="165" fontId="6" fillId="0" borderId="0" xfId="5" applyNumberFormat="1" applyFont="1" applyBorder="1" applyAlignment="1">
      <alignment horizontal="center"/>
    </xf>
    <xf numFmtId="169" fontId="1" fillId="0" borderId="14" xfId="5" applyNumberFormat="1" applyFont="1" applyBorder="1" applyAlignment="1">
      <alignment horizontal="center"/>
    </xf>
    <xf numFmtId="170" fontId="1" fillId="0" borderId="14" xfId="5" applyNumberFormat="1" applyFont="1" applyBorder="1" applyAlignment="1">
      <alignment horizontal="center"/>
    </xf>
    <xf numFmtId="169" fontId="6" fillId="0" borderId="14" xfId="1" applyNumberFormat="1" applyFont="1" applyBorder="1" applyAlignment="1">
      <alignment horizontal="center"/>
    </xf>
    <xf numFmtId="5" fontId="5" fillId="0" borderId="0" xfId="1" applyNumberFormat="1" applyFont="1"/>
    <xf numFmtId="5" fontId="1" fillId="0" borderId="0" xfId="1" applyNumberFormat="1" applyFont="1" applyBorder="1"/>
    <xf numFmtId="0" fontId="2" fillId="0" borderId="0" xfId="1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0" fillId="0" borderId="15" xfId="1" applyFont="1" applyBorder="1"/>
    <xf numFmtId="0" fontId="0" fillId="0" borderId="16" xfId="1" applyFont="1" applyBorder="1"/>
    <xf numFmtId="0" fontId="0" fillId="0" borderId="17" xfId="1" applyFont="1" applyBorder="1"/>
    <xf numFmtId="0" fontId="0" fillId="0" borderId="18" xfId="1" applyFont="1" applyBorder="1"/>
    <xf numFmtId="0" fontId="0" fillId="0" borderId="19" xfId="1" applyFont="1" applyBorder="1"/>
    <xf numFmtId="164" fontId="5" fillId="0" borderId="18" xfId="1" applyNumberFormat="1" applyFont="1" applyBorder="1"/>
    <xf numFmtId="0" fontId="5" fillId="0" borderId="19" xfId="1" applyFont="1" applyBorder="1"/>
    <xf numFmtId="0" fontId="2" fillId="0" borderId="18" xfId="1" applyFont="1" applyBorder="1"/>
    <xf numFmtId="0" fontId="2" fillId="0" borderId="19" xfId="1" applyFont="1" applyBorder="1"/>
    <xf numFmtId="165" fontId="6" fillId="0" borderId="16" xfId="5" applyNumberFormat="1" applyFont="1" applyBorder="1" applyAlignment="1">
      <alignment horizontal="right"/>
    </xf>
    <xf numFmtId="0" fontId="12" fillId="0" borderId="0" xfId="1" applyFont="1"/>
    <xf numFmtId="10" fontId="0" fillId="0" borderId="0" xfId="5" applyNumberFormat="1" applyFont="1"/>
    <xf numFmtId="37" fontId="0" fillId="4" borderId="20" xfId="1" applyNumberFormat="1" applyFont="1" applyFill="1" applyBorder="1" applyAlignment="1">
      <alignment horizontal="center"/>
    </xf>
    <xf numFmtId="37" fontId="0" fillId="4" borderId="21" xfId="1" applyNumberFormat="1" applyFont="1" applyFill="1" applyBorder="1" applyAlignment="1">
      <alignment horizontal="center"/>
    </xf>
    <xf numFmtId="0" fontId="0" fillId="0" borderId="22" xfId="1" applyFont="1" applyBorder="1"/>
    <xf numFmtId="0" fontId="5" fillId="0" borderId="0" xfId="1" applyFont="1" applyFill="1" applyBorder="1"/>
    <xf numFmtId="0" fontId="1" fillId="0" borderId="0" xfId="1" applyFont="1"/>
    <xf numFmtId="0" fontId="15" fillId="0" borderId="0" xfId="1" applyFont="1" applyAlignment="1">
      <alignment horizontal="center"/>
    </xf>
    <xf numFmtId="0" fontId="0" fillId="0" borderId="0" xfId="1" applyFont="1" applyAlignment="1">
      <alignment horizontal="right"/>
    </xf>
    <xf numFmtId="166" fontId="0" fillId="0" borderId="0" xfId="1" applyNumberFormat="1" applyFont="1"/>
    <xf numFmtId="39" fontId="0" fillId="0" borderId="0" xfId="1" applyNumberFormat="1" applyFont="1"/>
    <xf numFmtId="0" fontId="0" fillId="0" borderId="23" xfId="1" applyFont="1" applyBorder="1"/>
    <xf numFmtId="0" fontId="17" fillId="0" borderId="0" xfId="1" applyFont="1"/>
    <xf numFmtId="0" fontId="18" fillId="0" borderId="0" xfId="1" applyFont="1"/>
    <xf numFmtId="0" fontId="0" fillId="0" borderId="24" xfId="1" applyFont="1" applyBorder="1"/>
    <xf numFmtId="0" fontId="1" fillId="0" borderId="0" xfId="1" applyNumberFormat="1" applyFont="1" applyBorder="1" applyAlignment="1">
      <alignment horizontal="left"/>
    </xf>
    <xf numFmtId="0" fontId="1" fillId="0" borderId="19" xfId="1" applyNumberFormat="1" applyFont="1" applyBorder="1" applyAlignment="1">
      <alignment horizontal="left"/>
    </xf>
    <xf numFmtId="0" fontId="2" fillId="0" borderId="19" xfId="1" applyNumberFormat="1" applyFon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5" fillId="0" borderId="19" xfId="1" applyNumberFormat="1" applyFont="1" applyBorder="1" applyAlignment="1">
      <alignment horizontal="left"/>
    </xf>
    <xf numFmtId="0" fontId="5" fillId="0" borderId="0" xfId="5" applyNumberFormat="1" applyFont="1" applyBorder="1" applyAlignment="1">
      <alignment horizontal="left"/>
    </xf>
    <xf numFmtId="0" fontId="5" fillId="0" borderId="25" xfId="5" applyNumberFormat="1" applyFont="1" applyBorder="1" applyAlignment="1">
      <alignment horizontal="left"/>
    </xf>
    <xf numFmtId="0" fontId="5" fillId="0" borderId="25" xfId="1" applyNumberFormat="1" applyFont="1" applyBorder="1" applyAlignment="1">
      <alignment horizontal="left"/>
    </xf>
    <xf numFmtId="0" fontId="5" fillId="0" borderId="26" xfId="1" applyNumberFormat="1" applyFont="1" applyBorder="1" applyAlignment="1">
      <alignment horizontal="left"/>
    </xf>
    <xf numFmtId="0" fontId="0" fillId="0" borderId="0" xfId="1" quotePrefix="1" applyFont="1"/>
    <xf numFmtId="167" fontId="2" fillId="0" borderId="0" xfId="1" applyNumberFormat="1" applyFont="1" applyAlignment="1">
      <alignment horizontal="right"/>
    </xf>
    <xf numFmtId="167" fontId="5" fillId="0" borderId="0" xfId="1" applyNumberFormat="1" applyFont="1" applyAlignment="1">
      <alignment horizontal="right"/>
    </xf>
    <xf numFmtId="167" fontId="1" fillId="0" borderId="0" xfId="1" applyNumberFormat="1" applyFont="1" applyBorder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 applyBorder="1" applyAlignment="1">
      <alignment horizontal="right"/>
    </xf>
    <xf numFmtId="166" fontId="0" fillId="0" borderId="6" xfId="1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7" xfId="1" applyNumberFormat="1" applyFont="1" applyBorder="1" applyAlignment="1">
      <alignment horizontal="center"/>
    </xf>
    <xf numFmtId="166" fontId="0" fillId="0" borderId="8" xfId="1" applyNumberFormat="1" applyFont="1" applyFill="1" applyBorder="1" applyAlignment="1">
      <alignment horizontal="center"/>
    </xf>
    <xf numFmtId="166" fontId="0" fillId="0" borderId="9" xfId="1" applyNumberFormat="1" applyFont="1" applyFill="1" applyBorder="1" applyAlignment="1">
      <alignment horizontal="center"/>
    </xf>
    <xf numFmtId="166" fontId="0" fillId="4" borderId="21" xfId="1" applyNumberFormat="1" applyFont="1" applyFill="1" applyBorder="1" applyAlignment="1">
      <alignment horizontal="center"/>
    </xf>
    <xf numFmtId="166" fontId="0" fillId="0" borderId="10" xfId="1" applyNumberFormat="1" applyFont="1" applyFill="1" applyBorder="1" applyAlignment="1">
      <alignment horizontal="center"/>
    </xf>
    <xf numFmtId="166" fontId="0" fillId="0" borderId="1" xfId="1" applyNumberFormat="1" applyFont="1" applyFill="1" applyBorder="1" applyAlignment="1">
      <alignment horizontal="center"/>
    </xf>
    <xf numFmtId="166" fontId="0" fillId="0" borderId="11" xfId="1" applyNumberFormat="1" applyFont="1" applyFill="1" applyBorder="1" applyAlignment="1">
      <alignment horizontal="center"/>
    </xf>
    <xf numFmtId="166" fontId="0" fillId="4" borderId="20" xfId="1" applyNumberFormat="1" applyFont="1" applyFill="1" applyBorder="1" applyAlignment="1">
      <alignment horizontal="center"/>
    </xf>
    <xf numFmtId="166" fontId="0" fillId="0" borderId="12" xfId="1" applyNumberFormat="1" applyFont="1" applyFill="1" applyBorder="1" applyAlignment="1">
      <alignment horizontal="center"/>
    </xf>
    <xf numFmtId="166" fontId="0" fillId="0" borderId="13" xfId="1" applyNumberFormat="1" applyFont="1" applyFill="1" applyBorder="1" applyAlignment="1">
      <alignment horizontal="center"/>
    </xf>
    <xf numFmtId="0" fontId="2" fillId="5" borderId="2" xfId="1" applyFont="1" applyFill="1" applyBorder="1" applyAlignment="1">
      <alignment horizontal="left"/>
    </xf>
    <xf numFmtId="168" fontId="7" fillId="5" borderId="2" xfId="1" applyNumberFormat="1" applyFont="1" applyFill="1" applyBorder="1" applyAlignment="1">
      <alignment horizontal="right"/>
    </xf>
    <xf numFmtId="165" fontId="8" fillId="6" borderId="0" xfId="1" applyNumberFormat="1" applyFont="1" applyFill="1"/>
    <xf numFmtId="169" fontId="8" fillId="6" borderId="3" xfId="1" applyNumberFormat="1" applyFont="1" applyFill="1" applyBorder="1" applyAlignment="1">
      <alignment horizontal="center"/>
    </xf>
    <xf numFmtId="5" fontId="17" fillId="6" borderId="6" xfId="1" applyNumberFormat="1" applyFont="1" applyFill="1" applyBorder="1"/>
    <xf numFmtId="165" fontId="8" fillId="6" borderId="0" xfId="1" applyNumberFormat="1" applyFont="1" applyFill="1" applyAlignment="1">
      <alignment horizontal="right"/>
    </xf>
    <xf numFmtId="165" fontId="16" fillId="6" borderId="0" xfId="1" applyNumberFormat="1" applyFont="1" applyFill="1"/>
    <xf numFmtId="169" fontId="16" fillId="6" borderId="3" xfId="1" applyNumberFormat="1" applyFont="1" applyFill="1" applyBorder="1" applyAlignment="1">
      <alignment horizontal="center"/>
    </xf>
    <xf numFmtId="0" fontId="9" fillId="0" borderId="0" xfId="1" applyFont="1" applyAlignment="1">
      <alignment horizontal="center"/>
    </xf>
    <xf numFmtId="174" fontId="0" fillId="0" borderId="2" xfId="1" applyNumberFormat="1" applyFont="1" applyBorder="1"/>
    <xf numFmtId="0" fontId="15" fillId="0" borderId="0" xfId="1" applyFont="1" applyAlignment="1">
      <alignment horizontal="right"/>
    </xf>
    <xf numFmtId="166" fontId="15" fillId="0" borderId="0" xfId="1" applyNumberFormat="1" applyFont="1"/>
    <xf numFmtId="174" fontId="0" fillId="0" borderId="0" xfId="1" applyNumberFormat="1" applyFont="1" applyBorder="1"/>
    <xf numFmtId="0" fontId="0" fillId="0" borderId="0" xfId="1" applyFont="1" applyBorder="1" applyAlignment="1">
      <alignment horizontal="right"/>
    </xf>
    <xf numFmtId="167" fontId="0" fillId="0" borderId="0" xfId="1" applyNumberFormat="1" applyFont="1" applyBorder="1"/>
    <xf numFmtId="166" fontId="0" fillId="0" borderId="0" xfId="1" applyNumberFormat="1" applyFont="1" applyBorder="1"/>
    <xf numFmtId="167" fontId="6" fillId="0" borderId="14" xfId="5" applyNumberFormat="1" applyFont="1" applyBorder="1" applyAlignment="1">
      <alignment horizontal="center"/>
    </xf>
    <xf numFmtId="174" fontId="0" fillId="0" borderId="0" xfId="1" applyNumberFormat="1" applyFont="1"/>
    <xf numFmtId="166" fontId="0" fillId="0" borderId="2" xfId="1" applyNumberFormat="1" applyFont="1" applyBorder="1"/>
    <xf numFmtId="167" fontId="2" fillId="0" borderId="3" xfId="1" applyNumberFormat="1" applyFont="1" applyBorder="1"/>
    <xf numFmtId="167" fontId="2" fillId="0" borderId="4" xfId="1" applyNumberFormat="1" applyFont="1" applyBorder="1"/>
    <xf numFmtId="176" fontId="1" fillId="0" borderId="14" xfId="5" applyNumberFormat="1" applyFont="1" applyBorder="1" applyAlignment="1">
      <alignment horizontal="center"/>
    </xf>
    <xf numFmtId="167" fontId="0" fillId="0" borderId="0" xfId="1" applyNumberFormat="1" applyFont="1"/>
    <xf numFmtId="7" fontId="0" fillId="0" borderId="0" xfId="1" applyNumberFormat="1" applyFont="1"/>
    <xf numFmtId="172" fontId="1" fillId="0" borderId="14" xfId="5" applyNumberFormat="1" applyFont="1" applyBorder="1" applyAlignment="1">
      <alignment horizontal="center"/>
    </xf>
    <xf numFmtId="0" fontId="36" fillId="7" borderId="2" xfId="1" applyFont="1" applyFill="1" applyBorder="1" applyAlignment="1">
      <alignment horizontal="left"/>
    </xf>
    <xf numFmtId="7" fontId="37" fillId="7" borderId="2" xfId="1" applyNumberFormat="1" applyFont="1" applyFill="1" applyBorder="1"/>
    <xf numFmtId="7" fontId="36" fillId="7" borderId="5" xfId="1" applyNumberFormat="1" applyFont="1" applyFill="1" applyBorder="1" applyAlignment="1"/>
    <xf numFmtId="7" fontId="37" fillId="7" borderId="4" xfId="1" applyNumberFormat="1" applyFont="1" applyFill="1" applyBorder="1" applyAlignment="1"/>
    <xf numFmtId="0" fontId="0" fillId="8" borderId="0" xfId="0" applyFill="1"/>
    <xf numFmtId="0" fontId="36" fillId="7" borderId="0" xfId="0" applyFont="1" applyFill="1"/>
    <xf numFmtId="0" fontId="0" fillId="9" borderId="0" xfId="0" applyFill="1"/>
    <xf numFmtId="0" fontId="12" fillId="9" borderId="0" xfId="1" applyFont="1" applyFill="1"/>
    <xf numFmtId="7" fontId="14" fillId="9" borderId="0" xfId="1" applyNumberFormat="1" applyFont="1" applyFill="1" applyBorder="1"/>
    <xf numFmtId="7" fontId="2" fillId="9" borderId="0" xfId="1" applyNumberFormat="1" applyFont="1" applyFill="1" applyBorder="1" applyAlignment="1">
      <alignment horizontal="center"/>
    </xf>
    <xf numFmtId="7" fontId="8" fillId="9" borderId="0" xfId="1" applyNumberFormat="1" applyFont="1" applyFill="1" applyBorder="1" applyAlignment="1">
      <alignment horizontal="center"/>
    </xf>
    <xf numFmtId="7" fontId="19" fillId="9" borderId="0" xfId="1" applyNumberFormat="1" applyFont="1" applyFill="1"/>
    <xf numFmtId="167" fontId="2" fillId="9" borderId="0" xfId="1" applyNumberFormat="1" applyFont="1" applyFill="1"/>
    <xf numFmtId="7" fontId="19" fillId="9" borderId="0" xfId="1" applyNumberFormat="1" applyFont="1" applyFill="1" applyAlignment="1">
      <alignment horizontal="left" indent="1"/>
    </xf>
    <xf numFmtId="174" fontId="29" fillId="9" borderId="0" xfId="1" applyNumberFormat="1" applyFont="1" applyFill="1"/>
    <xf numFmtId="7" fontId="2" fillId="9" borderId="0" xfId="1" applyNumberFormat="1" applyFont="1" applyFill="1" applyBorder="1" applyAlignment="1">
      <alignment horizontal="left"/>
    </xf>
    <xf numFmtId="7" fontId="5" fillId="9" borderId="0" xfId="1" applyNumberFormat="1" applyFont="1" applyFill="1" applyBorder="1"/>
    <xf numFmtId="7" fontId="5" fillId="9" borderId="0" xfId="1" applyNumberFormat="1" applyFont="1" applyFill="1" applyBorder="1" applyAlignment="1">
      <alignment horizontal="center"/>
    </xf>
    <xf numFmtId="7" fontId="5" fillId="9" borderId="0" xfId="1" applyNumberFormat="1" applyFont="1" applyFill="1"/>
    <xf numFmtId="7" fontId="5" fillId="9" borderId="0" xfId="1" applyNumberFormat="1" applyFont="1" applyFill="1" applyAlignment="1">
      <alignment horizontal="center"/>
    </xf>
    <xf numFmtId="7" fontId="13" fillId="9" borderId="0" xfId="1" applyNumberFormat="1" applyFont="1" applyFill="1" applyBorder="1"/>
    <xf numFmtId="0" fontId="0" fillId="9" borderId="0" xfId="0" applyFill="1" applyBorder="1"/>
    <xf numFmtId="7" fontId="10" fillId="9" borderId="0" xfId="1" applyNumberFormat="1" applyFont="1" applyFill="1" applyBorder="1"/>
    <xf numFmtId="0" fontId="0" fillId="9" borderId="6" xfId="0" applyFill="1" applyBorder="1"/>
    <xf numFmtId="0" fontId="0" fillId="9" borderId="27" xfId="0" applyFill="1" applyBorder="1"/>
    <xf numFmtId="0" fontId="0" fillId="9" borderId="28" xfId="0" applyFill="1" applyBorder="1"/>
    <xf numFmtId="7" fontId="21" fillId="9" borderId="0" xfId="1" applyNumberFormat="1" applyFont="1" applyFill="1"/>
    <xf numFmtId="165" fontId="2" fillId="9" borderId="14" xfId="5" applyNumberFormat="1" applyFont="1" applyFill="1" applyBorder="1" applyAlignment="1">
      <alignment horizontal="center"/>
    </xf>
    <xf numFmtId="7" fontId="19" fillId="9" borderId="0" xfId="1" applyNumberFormat="1" applyFont="1" applyFill="1" applyBorder="1"/>
    <xf numFmtId="0" fontId="0" fillId="9" borderId="29" xfId="0" applyFill="1" applyBorder="1"/>
    <xf numFmtId="0" fontId="2" fillId="9" borderId="0" xfId="1" applyFont="1" applyFill="1" applyBorder="1" applyAlignment="1">
      <alignment horizontal="left"/>
    </xf>
    <xf numFmtId="168" fontId="7" fillId="9" borderId="0" xfId="1" applyNumberFormat="1" applyFont="1" applyFill="1" applyBorder="1" applyAlignment="1">
      <alignment horizontal="right"/>
    </xf>
    <xf numFmtId="7" fontId="10" fillId="9" borderId="7" xfId="1" applyNumberFormat="1" applyFont="1" applyFill="1" applyBorder="1"/>
    <xf numFmtId="0" fontId="5" fillId="9" borderId="0" xfId="1" applyFont="1" applyFill="1" applyBorder="1"/>
    <xf numFmtId="171" fontId="0" fillId="9" borderId="0" xfId="0" applyNumberFormat="1" applyFill="1" applyBorder="1"/>
    <xf numFmtId="171" fontId="0" fillId="9" borderId="0" xfId="0" applyNumberFormat="1" applyFill="1"/>
    <xf numFmtId="7" fontId="5" fillId="9" borderId="0" xfId="1" applyNumberFormat="1" applyFont="1" applyFill="1" applyAlignment="1"/>
    <xf numFmtId="7" fontId="5" fillId="9" borderId="0" xfId="1" applyNumberFormat="1" applyFont="1" applyFill="1" applyAlignment="1">
      <alignment wrapText="1"/>
    </xf>
    <xf numFmtId="165" fontId="5" fillId="9" borderId="0" xfId="1" applyNumberFormat="1" applyFont="1" applyFill="1" applyAlignment="1">
      <alignment horizontal="center"/>
    </xf>
    <xf numFmtId="7" fontId="10" fillId="9" borderId="0" xfId="1" applyNumberFormat="1" applyFont="1" applyFill="1" applyAlignment="1">
      <alignment horizontal="center"/>
    </xf>
    <xf numFmtId="7" fontId="10" fillId="9" borderId="0" xfId="1" applyNumberFormat="1" applyFont="1" applyFill="1"/>
    <xf numFmtId="0" fontId="10" fillId="9" borderId="0" xfId="1" applyFont="1" applyFill="1" applyBorder="1"/>
    <xf numFmtId="7" fontId="14" fillId="9" borderId="0" xfId="1" applyNumberFormat="1" applyFont="1" applyFill="1" applyAlignment="1">
      <alignment horizontal="left" indent="1"/>
    </xf>
    <xf numFmtId="7" fontId="14" fillId="9" borderId="0" xfId="1" applyNumberFormat="1" applyFont="1" applyFill="1"/>
    <xf numFmtId="7" fontId="14" fillId="9" borderId="0" xfId="1" applyNumberFormat="1" applyFont="1" applyFill="1" applyAlignment="1">
      <alignment horizontal="center"/>
    </xf>
    <xf numFmtId="166" fontId="29" fillId="9" borderId="2" xfId="1" applyNumberFormat="1" applyFont="1" applyFill="1" applyBorder="1"/>
    <xf numFmtId="7" fontId="2" fillId="9" borderId="0" xfId="1" applyNumberFormat="1" applyFont="1" applyFill="1" applyAlignment="1">
      <alignment horizontal="left"/>
    </xf>
    <xf numFmtId="7" fontId="2" fillId="9" borderId="0" xfId="1" applyNumberFormat="1" applyFont="1" applyFill="1"/>
    <xf numFmtId="7" fontId="2" fillId="9" borderId="0" xfId="1" applyNumberFormat="1" applyFont="1" applyFill="1" applyAlignment="1">
      <alignment horizontal="center"/>
    </xf>
    <xf numFmtId="7" fontId="5" fillId="9" borderId="6" xfId="1" applyNumberFormat="1" applyFont="1" applyFill="1" applyBorder="1" applyAlignment="1">
      <alignment horizontal="left"/>
    </xf>
    <xf numFmtId="0" fontId="10" fillId="9" borderId="7" xfId="1" applyFont="1" applyFill="1" applyBorder="1" applyAlignment="1">
      <alignment horizontal="center"/>
    </xf>
    <xf numFmtId="7" fontId="14" fillId="9" borderId="7" xfId="1" applyNumberFormat="1" applyFont="1" applyFill="1" applyBorder="1"/>
    <xf numFmtId="39" fontId="17" fillId="9" borderId="29" xfId="1" applyNumberFormat="1" applyFont="1" applyFill="1" applyBorder="1"/>
    <xf numFmtId="7" fontId="2" fillId="9" borderId="7" xfId="1" applyNumberFormat="1" applyFont="1" applyFill="1" applyBorder="1" applyAlignment="1">
      <alignment horizontal="left" indent="1"/>
    </xf>
    <xf numFmtId="174" fontId="2" fillId="9" borderId="29" xfId="3" applyNumberFormat="1" applyFont="1" applyFill="1" applyBorder="1"/>
    <xf numFmtId="7" fontId="2" fillId="9" borderId="0" xfId="1" applyNumberFormat="1" applyFont="1" applyFill="1" applyAlignment="1">
      <alignment horizontal="left" indent="2"/>
    </xf>
    <xf numFmtId="7" fontId="19" fillId="9" borderId="7" xfId="1" applyNumberFormat="1" applyFont="1" applyFill="1" applyBorder="1" applyAlignment="1">
      <alignment horizontal="left" indent="2"/>
    </xf>
    <xf numFmtId="39" fontId="19" fillId="9" borderId="29" xfId="1" applyNumberFormat="1" applyFont="1" applyFill="1" applyBorder="1"/>
    <xf numFmtId="173" fontId="14" fillId="9" borderId="0" xfId="1" applyNumberFormat="1" applyFont="1" applyFill="1" applyAlignment="1">
      <alignment horizontal="right"/>
    </xf>
    <xf numFmtId="165" fontId="6" fillId="9" borderId="7" xfId="5" applyNumberFormat="1" applyFont="1" applyFill="1" applyBorder="1" applyAlignment="1">
      <alignment horizontal="center"/>
    </xf>
    <xf numFmtId="7" fontId="19" fillId="9" borderId="0" xfId="1" applyNumberFormat="1" applyFont="1" applyFill="1" applyAlignment="1">
      <alignment horizontal="center"/>
    </xf>
    <xf numFmtId="7" fontId="10" fillId="9" borderId="0" xfId="1" applyNumberFormat="1" applyFont="1" applyFill="1" applyBorder="1" applyAlignment="1">
      <alignment vertical="center"/>
    </xf>
    <xf numFmtId="7" fontId="5" fillId="9" borderId="0" xfId="1" applyNumberFormat="1" applyFont="1" applyFill="1" applyAlignment="1">
      <alignment horizontal="left" indent="1"/>
    </xf>
    <xf numFmtId="40" fontId="19" fillId="9" borderId="0" xfId="2" applyNumberFormat="1" applyFont="1" applyFill="1" applyBorder="1" applyAlignment="1">
      <alignment horizontal="right"/>
    </xf>
    <xf numFmtId="175" fontId="5" fillId="9" borderId="28" xfId="2" applyNumberFormat="1" applyFont="1" applyFill="1" applyBorder="1" applyAlignment="1">
      <alignment horizontal="right"/>
    </xf>
    <xf numFmtId="7" fontId="10" fillId="9" borderId="7" xfId="1" applyNumberFormat="1" applyFont="1" applyFill="1" applyBorder="1" applyAlignment="1">
      <alignment vertical="center"/>
    </xf>
    <xf numFmtId="39" fontId="19" fillId="9" borderId="2" xfId="1" applyNumberFormat="1" applyFont="1" applyFill="1" applyBorder="1" applyAlignment="1">
      <alignment horizontal="right"/>
    </xf>
    <xf numFmtId="7" fontId="9" fillId="9" borderId="0" xfId="1" applyNumberFormat="1" applyFont="1" applyFill="1" applyBorder="1"/>
    <xf numFmtId="7" fontId="13" fillId="9" borderId="0" xfId="1" applyNumberFormat="1" applyFont="1" applyFill="1"/>
    <xf numFmtId="0" fontId="29" fillId="9" borderId="0" xfId="1" applyFont="1" applyFill="1" applyBorder="1"/>
    <xf numFmtId="165" fontId="20" fillId="9" borderId="0" xfId="1" applyNumberFormat="1" applyFont="1" applyFill="1" applyBorder="1" applyAlignment="1">
      <alignment horizontal="left"/>
    </xf>
    <xf numFmtId="177" fontId="21" fillId="9" borderId="0" xfId="1" applyNumberFormat="1" applyFont="1" applyFill="1" applyBorder="1" applyAlignment="1">
      <alignment horizontal="right"/>
    </xf>
    <xf numFmtId="0" fontId="2" fillId="9" borderId="0" xfId="1" applyFont="1" applyFill="1"/>
    <xf numFmtId="37" fontId="22" fillId="9" borderId="0" xfId="1" applyNumberFormat="1" applyFont="1" applyFill="1" applyBorder="1" applyAlignment="1">
      <alignment horizontal="center"/>
    </xf>
    <xf numFmtId="165" fontId="23" fillId="9" borderId="0" xfId="1" applyNumberFormat="1" applyFont="1" applyFill="1" applyBorder="1" applyAlignment="1">
      <alignment horizontal="center"/>
    </xf>
    <xf numFmtId="7" fontId="23" fillId="9" borderId="0" xfId="1" applyNumberFormat="1" applyFont="1" applyFill="1"/>
    <xf numFmtId="7" fontId="23" fillId="9" borderId="6" xfId="1" applyNumberFormat="1" applyFont="1" applyFill="1" applyBorder="1"/>
    <xf numFmtId="165" fontId="6" fillId="9" borderId="28" xfId="1" applyNumberFormat="1" applyFont="1" applyFill="1" applyBorder="1" applyAlignment="1">
      <alignment horizontal="right"/>
    </xf>
    <xf numFmtId="0" fontId="0" fillId="9" borderId="7" xfId="0" applyFill="1" applyBorder="1"/>
    <xf numFmtId="7" fontId="5" fillId="9" borderId="7" xfId="1" applyNumberFormat="1" applyFont="1" applyFill="1" applyBorder="1"/>
    <xf numFmtId="165" fontId="5" fillId="9" borderId="29" xfId="5" applyNumberFormat="1" applyFont="1" applyFill="1" applyBorder="1" applyAlignment="1">
      <alignment horizontal="right"/>
    </xf>
    <xf numFmtId="7" fontId="5" fillId="9" borderId="30" xfId="1" applyNumberFormat="1" applyFont="1" applyFill="1" applyBorder="1"/>
    <xf numFmtId="165" fontId="5" fillId="9" borderId="31" xfId="5" applyNumberFormat="1" applyFont="1" applyFill="1" applyBorder="1" applyAlignment="1">
      <alignment horizontal="right"/>
    </xf>
    <xf numFmtId="0" fontId="5" fillId="9" borderId="0" xfId="0" applyFont="1" applyFill="1" applyBorder="1"/>
    <xf numFmtId="0" fontId="5" fillId="9" borderId="2" xfId="0" applyFont="1" applyFill="1" applyBorder="1"/>
    <xf numFmtId="7" fontId="10" fillId="9" borderId="2" xfId="1" applyNumberFormat="1" applyFont="1" applyFill="1" applyBorder="1"/>
    <xf numFmtId="0" fontId="0" fillId="9" borderId="2" xfId="0" applyFill="1" applyBorder="1"/>
    <xf numFmtId="0" fontId="0" fillId="9" borderId="31" xfId="0" applyFill="1" applyBorder="1"/>
    <xf numFmtId="7" fontId="5" fillId="9" borderId="7" xfId="1" applyNumberFormat="1" applyFont="1" applyFill="1" applyBorder="1" applyAlignment="1">
      <alignment horizontal="left"/>
    </xf>
    <xf numFmtId="0" fontId="2" fillId="9" borderId="0" xfId="0" applyFont="1" applyFill="1"/>
    <xf numFmtId="41" fontId="3" fillId="9" borderId="0" xfId="5" applyNumberFormat="1" applyFont="1" applyFill="1" applyBorder="1" applyAlignment="1">
      <alignment horizontal="left"/>
    </xf>
    <xf numFmtId="165" fontId="5" fillId="9" borderId="0" xfId="5" applyNumberFormat="1" applyFont="1" applyFill="1" applyBorder="1" applyAlignment="1">
      <alignment horizontal="right"/>
    </xf>
    <xf numFmtId="7" fontId="25" fillId="9" borderId="0" xfId="1" applyNumberFormat="1" applyFont="1" applyFill="1" applyBorder="1" applyAlignment="1"/>
    <xf numFmtId="7" fontId="3" fillId="9" borderId="0" xfId="1" applyNumberFormat="1" applyFont="1" applyFill="1" applyBorder="1"/>
    <xf numFmtId="41" fontId="4" fillId="9" borderId="7" xfId="5" applyNumberFormat="1" applyFont="1" applyFill="1" applyBorder="1" applyAlignment="1">
      <alignment horizontal="left"/>
    </xf>
    <xf numFmtId="7" fontId="5" fillId="9" borderId="0" xfId="1" applyNumberFormat="1" applyFont="1" applyFill="1" applyBorder="1" applyAlignment="1">
      <alignment horizontal="right"/>
    </xf>
    <xf numFmtId="7" fontId="3" fillId="9" borderId="0" xfId="1" applyNumberFormat="1" applyFont="1" applyFill="1" applyBorder="1" applyAlignment="1">
      <alignment horizontal="right"/>
    </xf>
    <xf numFmtId="39" fontId="5" fillId="9" borderId="0" xfId="1" applyNumberFormat="1" applyFont="1" applyFill="1" applyBorder="1"/>
    <xf numFmtId="39" fontId="3" fillId="9" borderId="0" xfId="1" applyNumberFormat="1" applyFont="1" applyFill="1" applyBorder="1"/>
    <xf numFmtId="7" fontId="2" fillId="9" borderId="0" xfId="1" applyNumberFormat="1" applyFont="1" applyFill="1" applyBorder="1" applyAlignment="1">
      <alignment textRotation="90"/>
    </xf>
    <xf numFmtId="39" fontId="15" fillId="9" borderId="0" xfId="1" applyNumberFormat="1" applyFont="1" applyFill="1" applyBorder="1"/>
    <xf numFmtId="179" fontId="5" fillId="9" borderId="0" xfId="2" applyNumberFormat="1" applyFont="1" applyFill="1" applyBorder="1"/>
    <xf numFmtId="43" fontId="5" fillId="9" borderId="0" xfId="2" applyFont="1" applyFill="1" applyBorder="1"/>
    <xf numFmtId="176" fontId="29" fillId="9" borderId="0" xfId="1" applyNumberFormat="1" applyFont="1" applyFill="1" applyBorder="1" applyAlignment="1">
      <alignment horizontal="center"/>
    </xf>
    <xf numFmtId="0" fontId="5" fillId="9" borderId="7" xfId="0" applyFont="1" applyFill="1" applyBorder="1"/>
    <xf numFmtId="7" fontId="25" fillId="9" borderId="29" xfId="1" applyNumberFormat="1" applyFont="1" applyFill="1" applyBorder="1" applyAlignment="1">
      <alignment horizontal="center"/>
    </xf>
    <xf numFmtId="7" fontId="3" fillId="9" borderId="29" xfId="1" applyNumberFormat="1" applyFont="1" applyFill="1" applyBorder="1"/>
    <xf numFmtId="7" fontId="3" fillId="9" borderId="0" xfId="1" applyNumberFormat="1" applyFont="1" applyFill="1" applyBorder="1" applyAlignment="1">
      <alignment horizontal="center"/>
    </xf>
    <xf numFmtId="7" fontId="3" fillId="9" borderId="29" xfId="1" applyNumberFormat="1" applyFont="1" applyFill="1" applyBorder="1" applyAlignment="1">
      <alignment horizontal="right"/>
    </xf>
    <xf numFmtId="176" fontId="38" fillId="9" borderId="0" xfId="1" applyNumberFormat="1" applyFont="1" applyFill="1" applyBorder="1"/>
    <xf numFmtId="172" fontId="38" fillId="9" borderId="0" xfId="1" applyNumberFormat="1" applyFont="1" applyFill="1" applyBorder="1"/>
    <xf numFmtId="43" fontId="3" fillId="9" borderId="0" xfId="2" applyFont="1" applyFill="1" applyBorder="1"/>
    <xf numFmtId="43" fontId="28" fillId="9" borderId="0" xfId="2" applyFont="1" applyFill="1" applyBorder="1"/>
    <xf numFmtId="39" fontId="26" fillId="9" borderId="0" xfId="1" applyNumberFormat="1" applyFont="1" applyFill="1" applyBorder="1"/>
    <xf numFmtId="176" fontId="39" fillId="9" borderId="0" xfId="1" applyNumberFormat="1" applyFont="1" applyFill="1" applyBorder="1"/>
    <xf numFmtId="43" fontId="27" fillId="9" borderId="0" xfId="2" applyFont="1" applyFill="1" applyBorder="1"/>
    <xf numFmtId="173" fontId="5" fillId="9" borderId="30" xfId="1" applyNumberFormat="1" applyFont="1" applyFill="1" applyBorder="1"/>
    <xf numFmtId="167" fontId="15" fillId="9" borderId="2" xfId="1" applyNumberFormat="1" applyFont="1" applyFill="1" applyBorder="1"/>
    <xf numFmtId="7" fontId="5" fillId="9" borderId="2" xfId="1" applyNumberFormat="1" applyFont="1" applyFill="1" applyBorder="1"/>
    <xf numFmtId="167" fontId="26" fillId="9" borderId="0" xfId="1" applyNumberFormat="1" applyFont="1" applyFill="1" applyBorder="1"/>
    <xf numFmtId="43" fontId="3" fillId="9" borderId="0" xfId="1" applyNumberFormat="1" applyFont="1" applyFill="1" applyBorder="1"/>
    <xf numFmtId="0" fontId="36" fillId="7" borderId="5" xfId="1" applyFont="1" applyFill="1" applyBorder="1" applyAlignment="1">
      <alignment horizontal="left"/>
    </xf>
    <xf numFmtId="7" fontId="37" fillId="7" borderId="3" xfId="1" applyNumberFormat="1" applyFont="1" applyFill="1" applyBorder="1"/>
    <xf numFmtId="166" fontId="29" fillId="9" borderId="0" xfId="1" applyNumberFormat="1" applyFont="1" applyFill="1"/>
    <xf numFmtId="167" fontId="30" fillId="9" borderId="0" xfId="1" applyNumberFormat="1" applyFont="1" applyFill="1" applyBorder="1"/>
    <xf numFmtId="40" fontId="5" fillId="9" borderId="0" xfId="2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Border="1"/>
    <xf numFmtId="0" fontId="40" fillId="0" borderId="14" xfId="0" applyFont="1" applyBorder="1"/>
    <xf numFmtId="0" fontId="40" fillId="0" borderId="14" xfId="0" applyFont="1" applyFill="1" applyBorder="1"/>
    <xf numFmtId="0" fontId="0" fillId="10" borderId="0" xfId="0" applyFill="1"/>
    <xf numFmtId="10" fontId="40" fillId="0" borderId="14" xfId="0" applyNumberFormat="1" applyFont="1" applyFill="1" applyBorder="1"/>
    <xf numFmtId="176" fontId="40" fillId="0" borderId="14" xfId="0" applyNumberFormat="1" applyFont="1" applyFill="1" applyBorder="1"/>
    <xf numFmtId="10" fontId="40" fillId="0" borderId="14" xfId="0" applyNumberFormat="1" applyFont="1" applyBorder="1"/>
    <xf numFmtId="0" fontId="0" fillId="0" borderId="32" xfId="0" applyBorder="1"/>
    <xf numFmtId="0" fontId="0" fillId="0" borderId="0" xfId="0" applyFill="1" applyBorder="1"/>
    <xf numFmtId="0" fontId="20" fillId="0" borderId="32" xfId="0" applyFont="1" applyBorder="1"/>
    <xf numFmtId="0" fontId="2" fillId="0" borderId="0" xfId="0" applyFont="1" applyBorder="1"/>
    <xf numFmtId="176" fontId="2" fillId="0" borderId="0" xfId="0" applyNumberFormat="1" applyFont="1" applyBorder="1"/>
    <xf numFmtId="10" fontId="2" fillId="0" borderId="0" xfId="5" applyNumberFormat="1" applyFont="1" applyBorder="1"/>
    <xf numFmtId="0" fontId="0" fillId="11" borderId="32" xfId="0" applyFill="1" applyBorder="1"/>
    <xf numFmtId="0" fontId="36" fillId="11" borderId="0" xfId="0" applyFont="1" applyFill="1" applyBorder="1" applyAlignment="1">
      <alignment horizontal="center"/>
    </xf>
    <xf numFmtId="0" fontId="0" fillId="9" borderId="33" xfId="0" applyFill="1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9" borderId="32" xfId="0" applyFill="1" applyBorder="1"/>
    <xf numFmtId="0" fontId="0" fillId="9" borderId="37" xfId="0" applyFill="1" applyBorder="1"/>
    <xf numFmtId="0" fontId="0" fillId="9" borderId="38" xfId="0" applyFill="1" applyBorder="1"/>
    <xf numFmtId="0" fontId="0" fillId="9" borderId="22" xfId="0" applyFill="1" applyBorder="1"/>
    <xf numFmtId="165" fontId="0" fillId="0" borderId="0" xfId="5" applyNumberFormat="1" applyFont="1" applyBorder="1"/>
    <xf numFmtId="10" fontId="0" fillId="0" borderId="0" xfId="0" applyNumberFormat="1" applyBorder="1"/>
    <xf numFmtId="10" fontId="0" fillId="0" borderId="0" xfId="5" applyNumberFormat="1" applyFont="1" applyBorder="1"/>
    <xf numFmtId="9" fontId="2" fillId="0" borderId="0" xfId="0" applyNumberFormat="1" applyFont="1" applyBorder="1"/>
    <xf numFmtId="10" fontId="2" fillId="0" borderId="0" xfId="0" applyNumberFormat="1" applyFont="1" applyBorder="1"/>
    <xf numFmtId="0" fontId="5" fillId="0" borderId="32" xfId="0" applyFont="1" applyBorder="1"/>
    <xf numFmtId="0" fontId="5" fillId="0" borderId="39" xfId="0" applyFont="1" applyBorder="1"/>
    <xf numFmtId="0" fontId="0" fillId="0" borderId="2" xfId="0" applyBorder="1"/>
    <xf numFmtId="10" fontId="0" fillId="0" borderId="2" xfId="0" applyNumberFormat="1" applyBorder="1"/>
    <xf numFmtId="176" fontId="40" fillId="0" borderId="14" xfId="0" applyNumberFormat="1" applyFont="1" applyBorder="1"/>
    <xf numFmtId="165" fontId="0" fillId="0" borderId="2" xfId="5" applyNumberFormat="1" applyFont="1" applyBorder="1"/>
    <xf numFmtId="10" fontId="0" fillId="0" borderId="2" xfId="5" applyNumberFormat="1" applyFont="1" applyBorder="1"/>
    <xf numFmtId="165" fontId="5" fillId="0" borderId="0" xfId="5" applyNumberFormat="1" applyFont="1" applyBorder="1"/>
    <xf numFmtId="166" fontId="1" fillId="9" borderId="0" xfId="1" applyNumberFormat="1" applyFont="1" applyFill="1" applyBorder="1"/>
    <xf numFmtId="166" fontId="29" fillId="9" borderId="0" xfId="1" applyNumberFormat="1" applyFont="1" applyFill="1" applyBorder="1"/>
    <xf numFmtId="167" fontId="2" fillId="9" borderId="0" xfId="1" applyNumberFormat="1" applyFont="1" applyFill="1" applyBorder="1"/>
    <xf numFmtId="39" fontId="19" fillId="9" borderId="0" xfId="1" applyNumberFormat="1" applyFont="1" applyFill="1" applyBorder="1" applyAlignment="1">
      <alignment horizontal="right"/>
    </xf>
    <xf numFmtId="0" fontId="36" fillId="7" borderId="2" xfId="1" applyNumberFormat="1" applyFont="1" applyFill="1" applyBorder="1" applyAlignment="1">
      <alignment horizontal="right"/>
    </xf>
    <xf numFmtId="1" fontId="36" fillId="7" borderId="3" xfId="1" applyNumberFormat="1" applyFont="1" applyFill="1" applyBorder="1" applyAlignment="1">
      <alignment horizontal="right"/>
    </xf>
    <xf numFmtId="0" fontId="31" fillId="9" borderId="0" xfId="1" applyFont="1" applyFill="1"/>
    <xf numFmtId="190" fontId="29" fillId="9" borderId="0" xfId="2" applyNumberFormat="1" applyFont="1" applyFill="1" applyAlignment="1">
      <alignment horizontal="left"/>
    </xf>
    <xf numFmtId="190" fontId="1" fillId="9" borderId="2" xfId="2" applyNumberFormat="1" applyFont="1" applyFill="1" applyBorder="1" applyAlignment="1">
      <alignment horizontal="left"/>
    </xf>
    <xf numFmtId="190" fontId="29" fillId="9" borderId="0" xfId="2" applyNumberFormat="1" applyFont="1" applyFill="1"/>
    <xf numFmtId="167" fontId="2" fillId="9" borderId="0" xfId="1" applyNumberFormat="1" applyFont="1" applyFill="1" applyAlignment="1">
      <alignment horizontal="right"/>
    </xf>
    <xf numFmtId="7" fontId="32" fillId="9" borderId="0" xfId="1" applyNumberFormat="1" applyFont="1" applyFill="1" applyBorder="1" applyAlignment="1">
      <alignment horizontal="left"/>
    </xf>
    <xf numFmtId="7" fontId="4" fillId="9" borderId="0" xfId="1" applyNumberFormat="1" applyFont="1" applyFill="1" applyBorder="1"/>
    <xf numFmtId="7" fontId="4" fillId="9" borderId="0" xfId="1" applyNumberFormat="1" applyFont="1" applyFill="1" applyBorder="1" applyAlignment="1">
      <alignment horizontal="center"/>
    </xf>
    <xf numFmtId="7" fontId="4" fillId="9" borderId="0" xfId="1" applyNumberFormat="1" applyFont="1" applyFill="1"/>
    <xf numFmtId="7" fontId="4" fillId="9" borderId="0" xfId="1" applyNumberFormat="1" applyFont="1" applyFill="1" applyBorder="1" applyAlignment="1">
      <alignment horizontal="left"/>
    </xf>
    <xf numFmtId="165" fontId="4" fillId="9" borderId="0" xfId="5" applyNumberFormat="1" applyFont="1" applyFill="1" applyBorder="1" applyAlignment="1">
      <alignment horizontal="right"/>
    </xf>
    <xf numFmtId="165" fontId="4" fillId="9" borderId="0" xfId="5" applyNumberFormat="1" applyFont="1" applyFill="1"/>
    <xf numFmtId="7" fontId="38" fillId="9" borderId="0" xfId="2" applyNumberFormat="1" applyFont="1" applyFill="1" applyBorder="1"/>
    <xf numFmtId="43" fontId="5" fillId="9" borderId="0" xfId="1" applyNumberFormat="1" applyFont="1" applyFill="1" applyBorder="1"/>
    <xf numFmtId="43" fontId="5" fillId="9" borderId="2" xfId="2" applyFont="1" applyFill="1" applyBorder="1"/>
    <xf numFmtId="7" fontId="38" fillId="9" borderId="31" xfId="2" applyNumberFormat="1" applyFont="1" applyFill="1" applyBorder="1"/>
    <xf numFmtId="165" fontId="5" fillId="9" borderId="0" xfId="0" applyNumberFormat="1" applyFont="1" applyFill="1" applyBorder="1"/>
    <xf numFmtId="165" fontId="5" fillId="9" borderId="0" xfId="2" applyNumberFormat="1" applyFont="1" applyFill="1" applyBorder="1"/>
    <xf numFmtId="39" fontId="15" fillId="9" borderId="30" xfId="1" applyNumberFormat="1" applyFont="1" applyFill="1" applyBorder="1"/>
    <xf numFmtId="172" fontId="29" fillId="9" borderId="6" xfId="1" applyNumberFormat="1" applyFont="1" applyFill="1" applyBorder="1" applyAlignment="1">
      <alignment horizontal="center"/>
    </xf>
    <xf numFmtId="172" fontId="29" fillId="9" borderId="27" xfId="1" applyNumberFormat="1" applyFont="1" applyFill="1" applyBorder="1" applyAlignment="1">
      <alignment horizontal="center"/>
    </xf>
    <xf numFmtId="172" fontId="29" fillId="9" borderId="40" xfId="1" applyNumberFormat="1" applyFont="1" applyFill="1" applyBorder="1" applyAlignment="1">
      <alignment horizontal="center"/>
    </xf>
    <xf numFmtId="172" fontId="29" fillId="9" borderId="28" xfId="1" applyNumberFormat="1" applyFont="1" applyFill="1" applyBorder="1" applyAlignment="1">
      <alignment horizontal="center"/>
    </xf>
    <xf numFmtId="172" fontId="29" fillId="9" borderId="7" xfId="1" applyNumberFormat="1" applyFont="1" applyFill="1" applyBorder="1" applyAlignment="1">
      <alignment horizontal="center"/>
    </xf>
    <xf numFmtId="172" fontId="24" fillId="9" borderId="0" xfId="1" applyNumberFormat="1" applyFont="1" applyFill="1" applyBorder="1" applyAlignment="1">
      <alignment horizontal="center"/>
    </xf>
    <xf numFmtId="172" fontId="29" fillId="9" borderId="41" xfId="1" applyNumberFormat="1" applyFont="1" applyFill="1" applyBorder="1" applyAlignment="1">
      <alignment horizontal="center"/>
    </xf>
    <xf numFmtId="172" fontId="29" fillId="9" borderId="0" xfId="1" applyNumberFormat="1" applyFont="1" applyFill="1" applyBorder="1" applyAlignment="1">
      <alignment horizontal="center"/>
    </xf>
    <xf numFmtId="172" fontId="29" fillId="9" borderId="29" xfId="1" applyNumberFormat="1" applyFont="1" applyFill="1" applyBorder="1" applyAlignment="1">
      <alignment horizontal="center"/>
    </xf>
    <xf numFmtId="172" fontId="29" fillId="9" borderId="5" xfId="1" applyNumberFormat="1" applyFont="1" applyFill="1" applyBorder="1" applyAlignment="1">
      <alignment horizontal="center"/>
    </xf>
    <xf numFmtId="172" fontId="29" fillId="9" borderId="3" xfId="1" applyNumberFormat="1" applyFont="1" applyFill="1" applyBorder="1" applyAlignment="1">
      <alignment horizontal="center"/>
    </xf>
    <xf numFmtId="172" fontId="2" fillId="9" borderId="42" xfId="1" applyNumberFormat="1" applyFont="1" applyFill="1" applyBorder="1" applyAlignment="1">
      <alignment horizontal="center"/>
    </xf>
    <xf numFmtId="172" fontId="29" fillId="9" borderId="4" xfId="1" applyNumberFormat="1" applyFont="1" applyFill="1" applyBorder="1" applyAlignment="1">
      <alignment horizontal="center"/>
    </xf>
    <xf numFmtId="172" fontId="29" fillId="9" borderId="30" xfId="1" applyNumberFormat="1" applyFont="1" applyFill="1" applyBorder="1" applyAlignment="1">
      <alignment horizontal="center"/>
    </xf>
    <xf numFmtId="172" fontId="29" fillId="9" borderId="2" xfId="1" applyNumberFormat="1" applyFont="1" applyFill="1" applyBorder="1" applyAlignment="1">
      <alignment horizontal="center"/>
    </xf>
    <xf numFmtId="172" fontId="29" fillId="9" borderId="43" xfId="1" applyNumberFormat="1" applyFont="1" applyFill="1" applyBorder="1" applyAlignment="1">
      <alignment horizontal="center"/>
    </xf>
    <xf numFmtId="172" fontId="29" fillId="9" borderId="31" xfId="1" applyNumberFormat="1" applyFont="1" applyFill="1" applyBorder="1" applyAlignment="1">
      <alignment horizontal="center"/>
    </xf>
    <xf numFmtId="2" fontId="5" fillId="9" borderId="0" xfId="1" applyNumberFormat="1" applyFont="1" applyFill="1" applyBorder="1"/>
    <xf numFmtId="176" fontId="41" fillId="0" borderId="14" xfId="0" applyNumberFormat="1" applyFont="1" applyFill="1" applyBorder="1"/>
    <xf numFmtId="7" fontId="2" fillId="12" borderId="0" xfId="1" applyNumberFormat="1" applyFont="1" applyFill="1"/>
    <xf numFmtId="7" fontId="5" fillId="12" borderId="0" xfId="1" applyNumberFormat="1" applyFont="1" applyFill="1" applyAlignment="1">
      <alignment horizontal="center"/>
    </xf>
    <xf numFmtId="167" fontId="2" fillId="12" borderId="2" xfId="1" applyNumberFormat="1" applyFont="1" applyFill="1" applyBorder="1"/>
    <xf numFmtId="7" fontId="5" fillId="12" borderId="0" xfId="1" applyNumberFormat="1" applyFont="1" applyFill="1"/>
    <xf numFmtId="167" fontId="2" fillId="12" borderId="0" xfId="1" applyNumberFormat="1" applyFont="1" applyFill="1"/>
    <xf numFmtId="7" fontId="2" fillId="12" borderId="30" xfId="1" applyNumberFormat="1" applyFont="1" applyFill="1" applyBorder="1" applyAlignment="1">
      <alignment horizontal="left" indent="1"/>
    </xf>
    <xf numFmtId="167" fontId="2" fillId="12" borderId="31" xfId="1" applyNumberFormat="1" applyFont="1" applyFill="1" applyBorder="1"/>
    <xf numFmtId="7" fontId="2" fillId="12" borderId="30" xfId="1" applyNumberFormat="1" applyFont="1" applyFill="1" applyBorder="1" applyAlignment="1">
      <alignment horizontal="left"/>
    </xf>
    <xf numFmtId="176" fontId="2" fillId="12" borderId="31" xfId="2" applyNumberFormat="1" applyFont="1" applyFill="1" applyBorder="1" applyAlignment="1">
      <alignment horizontal="right"/>
    </xf>
    <xf numFmtId="7" fontId="2" fillId="12" borderId="6" xfId="1" applyNumberFormat="1" applyFont="1" applyFill="1" applyBorder="1" applyAlignment="1">
      <alignment horizontal="left"/>
    </xf>
    <xf numFmtId="176" fontId="2" fillId="12" borderId="28" xfId="2" applyNumberFormat="1" applyFont="1" applyFill="1" applyBorder="1" applyAlignment="1">
      <alignment horizontal="right"/>
    </xf>
    <xf numFmtId="0" fontId="2" fillId="12" borderId="33" xfId="0" applyFont="1" applyFill="1" applyBorder="1"/>
    <xf numFmtId="176" fontId="2" fillId="12" borderId="35" xfId="0" applyNumberFormat="1" applyFont="1" applyFill="1" applyBorder="1"/>
    <xf numFmtId="0" fontId="2" fillId="12" borderId="38" xfId="0" applyFont="1" applyFill="1" applyBorder="1"/>
    <xf numFmtId="172" fontId="2" fillId="12" borderId="37" xfId="2" applyNumberFormat="1" applyFont="1" applyFill="1" applyBorder="1"/>
    <xf numFmtId="171" fontId="40" fillId="13" borderId="14" xfId="1" applyNumberFormat="1" applyFont="1" applyFill="1" applyBorder="1" applyAlignment="1">
      <alignment horizontal="center"/>
    </xf>
    <xf numFmtId="168" fontId="40" fillId="13" borderId="14" xfId="1" applyNumberFormat="1" applyFont="1" applyFill="1" applyBorder="1" applyAlignment="1">
      <alignment horizontal="center"/>
    </xf>
    <xf numFmtId="165" fontId="6" fillId="13" borderId="14" xfId="5" applyNumberFormat="1" applyFont="1" applyFill="1" applyBorder="1" applyAlignment="1">
      <alignment horizontal="center"/>
    </xf>
    <xf numFmtId="165" fontId="40" fillId="13" borderId="14" xfId="5" applyNumberFormat="1" applyFont="1" applyFill="1" applyBorder="1" applyAlignment="1">
      <alignment horizontal="center"/>
    </xf>
    <xf numFmtId="43" fontId="0" fillId="12" borderId="14" xfId="0" applyNumberFormat="1" applyFill="1" applyBorder="1"/>
    <xf numFmtId="173" fontId="40" fillId="13" borderId="14" xfId="5" applyNumberFormat="1" applyFont="1" applyFill="1" applyBorder="1" applyAlignment="1">
      <alignment horizontal="right"/>
    </xf>
    <xf numFmtId="7" fontId="40" fillId="13" borderId="14" xfId="1" applyNumberFormat="1" applyFont="1" applyFill="1" applyBorder="1"/>
    <xf numFmtId="179" fontId="40" fillId="13" borderId="14" xfId="2" applyNumberFormat="1" applyFont="1" applyFill="1" applyBorder="1"/>
    <xf numFmtId="7" fontId="40" fillId="13" borderId="14" xfId="2" applyNumberFormat="1" applyFont="1" applyFill="1" applyBorder="1"/>
    <xf numFmtId="43" fontId="40" fillId="13" borderId="14" xfId="2" applyFont="1" applyFill="1" applyBorder="1"/>
    <xf numFmtId="167" fontId="40" fillId="13" borderId="14" xfId="2" applyNumberFormat="1" applyFont="1" applyFill="1" applyBorder="1" applyAlignment="1">
      <alignment horizontal="right"/>
    </xf>
    <xf numFmtId="167" fontId="40" fillId="13" borderId="14" xfId="5" applyNumberFormat="1" applyFont="1" applyFill="1" applyBorder="1" applyAlignment="1">
      <alignment horizontal="right"/>
    </xf>
    <xf numFmtId="176" fontId="40" fillId="13" borderId="14" xfId="1" applyNumberFormat="1" applyFont="1" applyFill="1" applyBorder="1"/>
    <xf numFmtId="172" fontId="40" fillId="13" borderId="14" xfId="1" applyNumberFormat="1" applyFont="1" applyFill="1" applyBorder="1"/>
    <xf numFmtId="172" fontId="40" fillId="9" borderId="0" xfId="0" applyNumberFormat="1" applyFont="1" applyFill="1" applyBorder="1"/>
    <xf numFmtId="172" fontId="40" fillId="13" borderId="14" xfId="0" applyNumberFormat="1" applyFont="1" applyFill="1" applyBorder="1"/>
    <xf numFmtId="7" fontId="42" fillId="7" borderId="44" xfId="1" applyNumberFormat="1" applyFont="1" applyFill="1" applyBorder="1"/>
    <xf numFmtId="0" fontId="37" fillId="7" borderId="45" xfId="0" applyFont="1" applyFill="1" applyBorder="1"/>
    <xf numFmtId="0" fontId="37" fillId="7" borderId="46" xfId="0" applyFont="1" applyFill="1" applyBorder="1"/>
    <xf numFmtId="7" fontId="36" fillId="7" borderId="44" xfId="1" applyNumberFormat="1" applyFont="1" applyFill="1" applyBorder="1" applyAlignment="1"/>
    <xf numFmtId="165" fontId="37" fillId="7" borderId="46" xfId="1" applyNumberFormat="1" applyFont="1" applyFill="1" applyBorder="1" applyAlignment="1"/>
    <xf numFmtId="10" fontId="40" fillId="13" borderId="14" xfId="5" applyNumberFormat="1" applyFont="1" applyFill="1" applyBorder="1" applyAlignment="1">
      <alignment horizontal="center"/>
    </xf>
    <xf numFmtId="182" fontId="40" fillId="13" borderId="14" xfId="0" applyNumberFormat="1" applyFont="1" applyFill="1" applyBorder="1"/>
    <xf numFmtId="7" fontId="5" fillId="9" borderId="7" xfId="1" applyNumberFormat="1" applyFont="1" applyFill="1" applyBorder="1" applyAlignment="1">
      <alignment horizontal="left" indent="2"/>
    </xf>
    <xf numFmtId="10" fontId="40" fillId="13" borderId="14" xfId="0" applyNumberFormat="1" applyFont="1" applyFill="1" applyBorder="1"/>
    <xf numFmtId="0" fontId="31" fillId="9" borderId="0" xfId="1" applyFont="1" applyFill="1" applyBorder="1"/>
    <xf numFmtId="7" fontId="34" fillId="9" borderId="0" xfId="1" applyNumberFormat="1" applyFont="1" applyFill="1" applyBorder="1"/>
    <xf numFmtId="10" fontId="5" fillId="0" borderId="0" xfId="5" applyNumberFormat="1" applyFont="1" applyBorder="1"/>
    <xf numFmtId="0" fontId="5" fillId="14" borderId="0" xfId="0" applyFont="1" applyFill="1" applyBorder="1" applyAlignment="1">
      <alignment horizontal="right"/>
    </xf>
    <xf numFmtId="10" fontId="0" fillId="14" borderId="0" xfId="0" applyNumberFormat="1" applyFill="1" applyBorder="1"/>
    <xf numFmtId="10" fontId="35" fillId="14" borderId="0" xfId="5" applyNumberFormat="1" applyFont="1" applyFill="1" applyBorder="1"/>
    <xf numFmtId="10" fontId="35" fillId="14" borderId="2" xfId="5" applyNumberFormat="1" applyFont="1" applyFill="1" applyBorder="1"/>
    <xf numFmtId="10" fontId="19" fillId="9" borderId="2" xfId="5" applyNumberFormat="1" applyFont="1" applyFill="1" applyBorder="1" applyAlignment="1">
      <alignment horizontal="right"/>
    </xf>
    <xf numFmtId="10" fontId="5" fillId="9" borderId="31" xfId="5" applyNumberFormat="1" applyFont="1" applyFill="1" applyBorder="1" applyAlignment="1">
      <alignment horizontal="right"/>
    </xf>
    <xf numFmtId="10" fontId="43" fillId="9" borderId="2" xfId="5" applyNumberFormat="1" applyFont="1" applyFill="1" applyBorder="1" applyAlignment="1">
      <alignment horizontal="right"/>
    </xf>
    <xf numFmtId="0" fontId="5" fillId="9" borderId="0" xfId="0" applyFont="1" applyFill="1"/>
    <xf numFmtId="7" fontId="2" fillId="9" borderId="0" xfId="1" applyNumberFormat="1" applyFont="1" applyFill="1" applyBorder="1" applyAlignment="1">
      <alignment horizontal="center"/>
    </xf>
    <xf numFmtId="0" fontId="2" fillId="9" borderId="0" xfId="1" applyNumberFormat="1" applyFont="1" applyFill="1" applyBorder="1" applyAlignment="1">
      <alignment horizontal="center"/>
    </xf>
    <xf numFmtId="7" fontId="44" fillId="15" borderId="0" xfId="1" applyNumberFormat="1" applyFont="1" applyFill="1" applyBorder="1"/>
    <xf numFmtId="10" fontId="36" fillId="7" borderId="0" xfId="5" applyNumberFormat="1" applyFont="1" applyFill="1" applyBorder="1" applyAlignment="1">
      <alignment horizontal="center"/>
    </xf>
    <xf numFmtId="10" fontId="45" fillId="7" borderId="0" xfId="5" applyNumberFormat="1" applyFont="1" applyFill="1" applyBorder="1" applyAlignment="1">
      <alignment horizontal="center"/>
    </xf>
    <xf numFmtId="10" fontId="36" fillId="7" borderId="0" xfId="1" applyNumberFormat="1" applyFont="1" applyFill="1" applyBorder="1" applyAlignment="1">
      <alignment horizontal="center"/>
    </xf>
    <xf numFmtId="10" fontId="45" fillId="7" borderId="0" xfId="1" applyNumberFormat="1" applyFont="1" applyFill="1" applyBorder="1" applyAlignment="1">
      <alignment horizontal="center"/>
    </xf>
    <xf numFmtId="165" fontId="5" fillId="9" borderId="0" xfId="1" applyNumberFormat="1" applyFont="1" applyFill="1" applyBorder="1" applyAlignment="1">
      <alignment horizontal="center"/>
    </xf>
    <xf numFmtId="165" fontId="5" fillId="9" borderId="0" xfId="1" applyNumberFormat="1" applyFont="1" applyFill="1" applyBorder="1" applyAlignment="1">
      <alignment horizontal="left"/>
    </xf>
    <xf numFmtId="0" fontId="2" fillId="0" borderId="29" xfId="1" applyFont="1" applyBorder="1" applyAlignment="1">
      <alignment horizontal="right" vertical="center" textRotation="90" wrapText="1"/>
    </xf>
    <xf numFmtId="0" fontId="2" fillId="9" borderId="0" xfId="0" applyFont="1" applyFill="1" applyAlignment="1">
      <alignment horizontal="center" textRotation="90"/>
    </xf>
    <xf numFmtId="7" fontId="2" fillId="9" borderId="0" xfId="1" applyNumberFormat="1" applyFont="1" applyFill="1" applyBorder="1" applyAlignment="1">
      <alignment horizontal="center"/>
    </xf>
    <xf numFmtId="7" fontId="2" fillId="9" borderId="2" xfId="1" applyNumberFormat="1" applyFont="1" applyFill="1" applyBorder="1" applyAlignment="1">
      <alignment horizontal="center"/>
    </xf>
    <xf numFmtId="0" fontId="36" fillId="7" borderId="33" xfId="0" applyFont="1" applyFill="1" applyBorder="1" applyAlignment="1">
      <alignment horizontal="left"/>
    </xf>
    <xf numFmtId="0" fontId="36" fillId="7" borderId="34" xfId="0" applyFont="1" applyFill="1" applyBorder="1" applyAlignment="1">
      <alignment horizontal="left"/>
    </xf>
    <xf numFmtId="0" fontId="36" fillId="7" borderId="35" xfId="0" applyFont="1" applyFill="1" applyBorder="1" applyAlignment="1">
      <alignment horizontal="left"/>
    </xf>
  </cellXfs>
  <cellStyles count="6">
    <cellStyle name="******************************************" xfId="1" xr:uid="{F27CA0E0-AD1E-4676-A4FF-3C5D2B57A37A}"/>
    <cellStyle name="Comma" xfId="2" builtinId="3"/>
    <cellStyle name="Currency" xfId="3" builtinId="4"/>
    <cellStyle name="Normal" xfId="0" builtinId="0"/>
    <cellStyle name="Normal 5" xfId="4" xr:uid="{1B223D0C-39A2-4C14-B874-84063F6BFC97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3</xdr:row>
      <xdr:rowOff>66675</xdr:rowOff>
    </xdr:from>
    <xdr:to>
      <xdr:col>6</xdr:col>
      <xdr:colOff>104775</xdr:colOff>
      <xdr:row>4</xdr:row>
      <xdr:rowOff>104775</xdr:rowOff>
    </xdr:to>
    <xdr:sp macro="" textlink="">
      <xdr:nvSpPr>
        <xdr:cNvPr id="42127" name="AutoShape 471">
          <a:extLst>
            <a:ext uri="{FF2B5EF4-FFF2-40B4-BE49-F238E27FC236}">
              <a16:creationId xmlns:a16="http://schemas.microsoft.com/office/drawing/2014/main" id="{62DD011A-BFBE-044B-B315-654B6761565D}"/>
            </a:ext>
          </a:extLst>
        </xdr:cNvPr>
        <xdr:cNvSpPr>
          <a:spLocks/>
        </xdr:cNvSpPr>
      </xdr:nvSpPr>
      <xdr:spPr bwMode="auto">
        <a:xfrm rot="-5376439">
          <a:off x="4872037" y="-509587"/>
          <a:ext cx="200025" cy="2514600"/>
        </a:xfrm>
        <a:prstGeom prst="rightBrace">
          <a:avLst>
            <a:gd name="adj1" fmla="val 104762"/>
            <a:gd name="adj2" fmla="val 50000"/>
          </a:avLst>
        </a:prstGeom>
        <a:noFill/>
        <a:ln w="9525">
          <a:solidFill>
            <a:srgbClr val="DD080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954405</xdr:colOff>
      <xdr:row>2</xdr:row>
      <xdr:rowOff>34290</xdr:rowOff>
    </xdr:from>
    <xdr:ext cx="1726582" cy="183617"/>
    <xdr:sp macro="" textlink="">
      <xdr:nvSpPr>
        <xdr:cNvPr id="2520" name="Text Box 472">
          <a:extLst>
            <a:ext uri="{FF2B5EF4-FFF2-40B4-BE49-F238E27FC236}">
              <a16:creationId xmlns:a16="http://schemas.microsoft.com/office/drawing/2014/main" id="{8C1CE2DF-4D69-68CE-71E1-01E0AA699904}"/>
            </a:ext>
          </a:extLst>
        </xdr:cNvPr>
        <xdr:cNvSpPr txBox="1">
          <a:spLocks noChangeArrowheads="1"/>
        </xdr:cNvSpPr>
      </xdr:nvSpPr>
      <xdr:spPr bwMode="auto">
        <a:xfrm>
          <a:off x="4246133" y="473561"/>
          <a:ext cx="170418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strike="noStrike">
              <a:solidFill>
                <a:srgbClr val="DD0806"/>
              </a:solidFill>
              <a:latin typeface="Arial"/>
              <a:cs typeface="Arial"/>
            </a:rPr>
            <a:t>Links to 'Comp Spread' Tab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250372</xdr:colOff>
      <xdr:row>36</xdr:row>
      <xdr:rowOff>142875</xdr:rowOff>
    </xdr:from>
    <xdr:to>
      <xdr:col>25</xdr:col>
      <xdr:colOff>525249</xdr:colOff>
      <xdr:row>38</xdr:row>
      <xdr:rowOff>87135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DB245DC1-6137-8CC7-0D1E-B14CD7F551D7}"/>
            </a:ext>
          </a:extLst>
        </xdr:cNvPr>
        <xdr:cNvSpPr/>
      </xdr:nvSpPr>
      <xdr:spPr>
        <a:xfrm>
          <a:off x="16818429" y="6389914"/>
          <a:ext cx="2035628" cy="261257"/>
        </a:xfrm>
        <a:prstGeom prst="roundRect">
          <a:avLst/>
        </a:prstGeom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From most recent 10K or 10Q </a:t>
          </a:r>
        </a:p>
      </xdr:txBody>
    </xdr:sp>
    <xdr:clientData/>
  </xdr:twoCellAnchor>
  <xdr:twoCellAnchor>
    <xdr:from>
      <xdr:col>22</xdr:col>
      <xdr:colOff>217714</xdr:colOff>
      <xdr:row>30</xdr:row>
      <xdr:rowOff>32657</xdr:rowOff>
    </xdr:from>
    <xdr:to>
      <xdr:col>23</xdr:col>
      <xdr:colOff>121172</xdr:colOff>
      <xdr:row>45</xdr:row>
      <xdr:rowOff>32657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7E145F2A-B8FD-C057-A65A-3C4914DD2F30}"/>
            </a:ext>
          </a:extLst>
        </xdr:cNvPr>
        <xdr:cNvSpPr/>
      </xdr:nvSpPr>
      <xdr:spPr>
        <a:xfrm>
          <a:off x="16502743" y="5290457"/>
          <a:ext cx="195943" cy="248194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24</xdr:col>
      <xdr:colOff>409575</xdr:colOff>
      <xdr:row>23</xdr:row>
      <xdr:rowOff>76200</xdr:rowOff>
    </xdr:from>
    <xdr:to>
      <xdr:col>24</xdr:col>
      <xdr:colOff>425903</xdr:colOff>
      <xdr:row>36</xdr:row>
      <xdr:rowOff>142875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CA55C8A-C3CF-663C-620A-2D246792840D}"/>
            </a:ext>
          </a:extLst>
        </xdr:cNvPr>
        <xdr:cNvCxnSpPr/>
      </xdr:nvCxnSpPr>
      <xdr:spPr>
        <a:xfrm flipV="1">
          <a:off x="17858014" y="4169229"/>
          <a:ext cx="16328" cy="2220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896711</xdr:colOff>
      <xdr:row>23</xdr:row>
      <xdr:rowOff>87085</xdr:rowOff>
    </xdr:from>
    <xdr:to>
      <xdr:col>24</xdr:col>
      <xdr:colOff>436776</xdr:colOff>
      <xdr:row>23</xdr:row>
      <xdr:rowOff>87085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81395B3-B4EC-86C7-829D-DFAB9CECCB84}"/>
            </a:ext>
          </a:extLst>
        </xdr:cNvPr>
        <xdr:cNvCxnSpPr/>
      </xdr:nvCxnSpPr>
      <xdr:spPr>
        <a:xfrm flipH="1">
          <a:off x="13977257" y="4180114"/>
          <a:ext cx="39079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845004</xdr:colOff>
      <xdr:row>23</xdr:row>
      <xdr:rowOff>27214</xdr:rowOff>
    </xdr:from>
    <xdr:to>
      <xdr:col>14</xdr:col>
      <xdr:colOff>2028825</xdr:colOff>
      <xdr:row>27</xdr:row>
      <xdr:rowOff>28575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B81984B1-EF93-2FE3-F5AA-2F003C2B3EA8}"/>
            </a:ext>
          </a:extLst>
        </xdr:cNvPr>
        <xdr:cNvSpPr/>
      </xdr:nvSpPr>
      <xdr:spPr>
        <a:xfrm>
          <a:off x="9779454" y="4265839"/>
          <a:ext cx="1212396" cy="687161"/>
        </a:xfrm>
        <a:prstGeom prst="roundRect">
          <a:avLst/>
        </a:prstGeom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From most recent 10K or 10Q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c-snap\archive\Clients\Reuters\Radianz\2001\December%202001\Excel\Final%20Valuation%20Schedules\PCS%20Extranet%20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Input"/>
      <sheetName val="PCS"/>
      <sheetName val="Market Info1"/>
      <sheetName val="Market Info2"/>
      <sheetName val="Operating Data"/>
      <sheetName val="Balance Sheet Ratios"/>
      <sheetName val="Financial"/>
      <sheetName val="Trend"/>
      <sheetName val="Rankings"/>
      <sheetName val="SCF - BS"/>
      <sheetName val="SCF - IS"/>
      <sheetName val="SCF - CFA"/>
      <sheetName val="Representative Levels"/>
      <sheetName val="ValSum"/>
      <sheetName val="Market Multiple"/>
      <sheetName val="Multiple Analysis"/>
      <sheetName val="Debt Summary"/>
      <sheetName val="Market Changes"/>
      <sheetName val="WACC"/>
      <sheetName val="Terminal"/>
      <sheetName val="Cash &amp; WC"/>
      <sheetName val="Pricing"/>
      <sheetName val="Other Analysis"/>
      <sheetName val="Comp notes"/>
      <sheetName val="Glossary"/>
      <sheetName val="Comp #1"/>
      <sheetName val="Comp #2"/>
      <sheetName val="Comp #3"/>
      <sheetName val="Comp #4"/>
      <sheetName val="Comp #5"/>
      <sheetName val="Comp #6"/>
      <sheetName val="Comp #7"/>
      <sheetName val="Comp #8"/>
      <sheetName val="Comp #9"/>
      <sheetName val="Comp #10"/>
      <sheetName val="__FDSCACHE__"/>
      <sheetName val="Market Backup"/>
      <sheetName val="Compustat Dates"/>
      <sheetName val="Macro Variables"/>
      <sheetName val="General Downloads"/>
      <sheetName val="Fly Sheets"/>
      <sheetName val="Footnotes"/>
      <sheetName val="Help"/>
      <sheetName val="DCF"/>
    </sheetNames>
    <sheetDataSet>
      <sheetData sheetId="0" refreshError="1">
        <row r="1">
          <cell r="C1" t="str">
            <v>Radianz</v>
          </cell>
        </row>
        <row r="4">
          <cell r="G4">
            <v>36981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B0D7-2F52-4555-912F-4CB6967E45CA}">
  <dimension ref="A2:X84"/>
  <sheetViews>
    <sheetView showGridLines="0" view="pageBreakPreview" zoomScale="85" zoomScaleNormal="85" zoomScaleSheetLayoutView="75" workbookViewId="0">
      <selection activeCell="A4" sqref="A4"/>
    </sheetView>
  </sheetViews>
  <sheetFormatPr defaultRowHeight="12.75" x14ac:dyDescent="0.2"/>
  <cols>
    <col min="1" max="1" width="5.7109375" customWidth="1"/>
    <col min="2" max="2" width="29.28515625" customWidth="1"/>
    <col min="3" max="3" width="12.7109375" customWidth="1"/>
    <col min="4" max="4" width="17.28515625" bestFit="1" customWidth="1"/>
    <col min="5" max="5" width="14.140625" bestFit="1" customWidth="1"/>
    <col min="6" max="6" width="12.7109375" customWidth="1"/>
    <col min="7" max="7" width="13.85546875" bestFit="1" customWidth="1"/>
    <col min="8" max="9" width="12.7109375" customWidth="1"/>
    <col min="10" max="12" width="1.7109375" customWidth="1"/>
    <col min="13" max="13" width="14.7109375" customWidth="1"/>
    <col min="14" max="14" width="9.28515625" bestFit="1" customWidth="1"/>
    <col min="15" max="15" width="12.28515625" bestFit="1" customWidth="1"/>
    <col min="16" max="16" width="8.85546875" customWidth="1"/>
    <col min="17" max="17" width="14.28515625" customWidth="1"/>
  </cols>
  <sheetData>
    <row r="2" spans="1:16" ht="20.25" x14ac:dyDescent="0.3">
      <c r="A2" s="59" t="s">
        <v>4</v>
      </c>
      <c r="M2" s="37"/>
      <c r="N2" s="37"/>
      <c r="O2" s="36"/>
    </row>
    <row r="3" spans="1:16" x14ac:dyDescent="0.2">
      <c r="E3" s="2"/>
      <c r="H3" s="2"/>
      <c r="N3" s="37"/>
      <c r="O3" s="36"/>
    </row>
    <row r="4" spans="1:16" x14ac:dyDescent="0.2">
      <c r="A4" s="35" t="s">
        <v>28</v>
      </c>
    </row>
    <row r="5" spans="1:16" x14ac:dyDescent="0.2">
      <c r="B5" s="14"/>
      <c r="C5" s="6"/>
      <c r="D5" s="6"/>
      <c r="E5" s="6"/>
      <c r="F5" s="6"/>
      <c r="G5" s="6"/>
      <c r="H5" s="6"/>
      <c r="I5" s="6"/>
    </row>
    <row r="6" spans="1:16" ht="4.5" customHeight="1" x14ac:dyDescent="0.2">
      <c r="C6" s="1"/>
      <c r="D6" s="1"/>
      <c r="F6" s="1"/>
      <c r="G6" s="1"/>
      <c r="H6" s="1"/>
      <c r="I6" s="1"/>
    </row>
    <row r="7" spans="1:16" x14ac:dyDescent="0.2">
      <c r="B7" s="101" t="s">
        <v>41</v>
      </c>
      <c r="C7" s="102"/>
      <c r="D7" s="102">
        <v>38773</v>
      </c>
      <c r="E7" s="102">
        <v>39138</v>
      </c>
      <c r="F7" s="102">
        <v>39503</v>
      </c>
      <c r="G7" s="102">
        <v>39869</v>
      </c>
      <c r="H7" s="102">
        <v>40234</v>
      </c>
      <c r="I7" s="102">
        <v>40599</v>
      </c>
    </row>
    <row r="9" spans="1:16" x14ac:dyDescent="0.2">
      <c r="B9" s="1" t="s">
        <v>32</v>
      </c>
      <c r="D9" s="11" t="e">
        <f>#REF!</f>
        <v>#REF!</v>
      </c>
      <c r="E9" s="11" t="e">
        <f>#REF!</f>
        <v>#REF!</v>
      </c>
      <c r="F9" s="11" t="e">
        <f>#REF!</f>
        <v>#REF!</v>
      </c>
      <c r="G9" s="11" t="e">
        <f>F9*(1+$M$12)</f>
        <v>#REF!</v>
      </c>
      <c r="H9" s="11" t="e">
        <f>G9*(1+$M$12)</f>
        <v>#REF!</v>
      </c>
      <c r="I9" s="11" t="e">
        <f>H9*(1+$M$12)</f>
        <v>#REF!</v>
      </c>
      <c r="J9" s="3"/>
      <c r="M9" s="35" t="s">
        <v>76</v>
      </c>
    </row>
    <row r="10" spans="1:16" x14ac:dyDescent="0.2">
      <c r="L10" s="49"/>
      <c r="M10" s="50"/>
      <c r="N10" s="50"/>
      <c r="O10" s="50"/>
      <c r="P10" s="51"/>
    </row>
    <row r="11" spans="1:16" x14ac:dyDescent="0.2">
      <c r="B11" s="3" t="s">
        <v>0</v>
      </c>
      <c r="C11" s="3"/>
      <c r="D11" s="3"/>
      <c r="E11" s="45" t="e">
        <f>#REF!</f>
        <v>#REF!</v>
      </c>
      <c r="F11" s="45" t="e">
        <f>#REF!</f>
        <v>#REF!</v>
      </c>
      <c r="G11" s="45" t="e">
        <f>G13+G17</f>
        <v>#REF!</v>
      </c>
      <c r="H11" s="45" t="e">
        <f>H13+H17</f>
        <v>#REF!</v>
      </c>
      <c r="I11" s="45" t="e">
        <f>I13+I17</f>
        <v>#REF!</v>
      </c>
      <c r="L11" s="52"/>
      <c r="M11" s="5"/>
      <c r="N11" s="5"/>
      <c r="O11" s="5"/>
      <c r="P11" s="53"/>
    </row>
    <row r="12" spans="1:16" x14ac:dyDescent="0.2">
      <c r="L12" s="52"/>
      <c r="M12" s="38">
        <v>0.15</v>
      </c>
      <c r="N12" s="5" t="s">
        <v>34</v>
      </c>
      <c r="O12" s="5"/>
      <c r="P12" s="53"/>
    </row>
    <row r="13" spans="1:16" s="9" customFormat="1" x14ac:dyDescent="0.2">
      <c r="B13" s="8" t="s">
        <v>1</v>
      </c>
      <c r="E13" s="46" t="e">
        <f>#REF!</f>
        <v>#REF!</v>
      </c>
      <c r="F13" s="46" t="e">
        <f>#REF!</f>
        <v>#REF!</v>
      </c>
      <c r="G13" s="46" t="e">
        <f>$M$13*G9</f>
        <v>#REF!</v>
      </c>
      <c r="H13" s="46" t="e">
        <f>$M$13*H9</f>
        <v>#REF!</v>
      </c>
      <c r="I13" s="46" t="e">
        <f>$M$13*I9</f>
        <v>#REF!</v>
      </c>
      <c r="J13" s="22"/>
      <c r="K13" s="22"/>
      <c r="L13" s="54"/>
      <c r="M13" s="38">
        <v>0.06</v>
      </c>
      <c r="N13" s="5" t="s">
        <v>3</v>
      </c>
      <c r="P13" s="55"/>
    </row>
    <row r="14" spans="1:16" x14ac:dyDescent="0.2">
      <c r="B14" s="4" t="str">
        <f>"Less: Estimated Taxes at " &amp;TEXT($M$14,"0%")</f>
        <v>Less: Estimated Taxes at 35%</v>
      </c>
      <c r="E14" s="18" t="e">
        <f>IF(E13&lt;0,0,E13*$M$14)</f>
        <v>#REF!</v>
      </c>
      <c r="F14" s="18" t="e">
        <f>IF(F13&lt;0,0,F13*$M$14)</f>
        <v>#REF!</v>
      </c>
      <c r="G14" s="18" t="e">
        <f>IF(G13&lt;0,0,G13*$M$14)</f>
        <v>#REF!</v>
      </c>
      <c r="H14" s="18" t="e">
        <f>IF(H13&lt;0,0,H13*$M$14)</f>
        <v>#REF!</v>
      </c>
      <c r="I14" s="18" t="e">
        <f>IF(I13&lt;0,0,I13*$M$14)</f>
        <v>#REF!</v>
      </c>
      <c r="L14" s="52"/>
      <c r="M14" s="38">
        <v>0.35</v>
      </c>
      <c r="N14" s="5" t="s">
        <v>55</v>
      </c>
      <c r="O14" s="5"/>
      <c r="P14" s="53"/>
    </row>
    <row r="15" spans="1:16" s="1" customFormat="1" x14ac:dyDescent="0.2">
      <c r="B15" s="17" t="s">
        <v>56</v>
      </c>
      <c r="E15" s="11" t="e">
        <f>E13-E14</f>
        <v>#REF!</v>
      </c>
      <c r="F15" s="11" t="e">
        <f>F13-F14</f>
        <v>#REF!</v>
      </c>
      <c r="G15" s="11" t="e">
        <f>G13-G14</f>
        <v>#REF!</v>
      </c>
      <c r="H15" s="11" t="e">
        <f>H13-H14</f>
        <v>#REF!</v>
      </c>
      <c r="I15" s="11" t="e">
        <f>I13-I14</f>
        <v>#REF!</v>
      </c>
      <c r="L15" s="56"/>
      <c r="M15" s="47"/>
      <c r="N15" s="10"/>
      <c r="O15" s="10"/>
      <c r="P15" s="57"/>
    </row>
    <row r="16" spans="1:16" x14ac:dyDescent="0.2">
      <c r="L16" s="52"/>
      <c r="M16" s="48"/>
      <c r="N16" s="5"/>
      <c r="O16" s="5"/>
      <c r="P16" s="53"/>
    </row>
    <row r="17" spans="2:16" x14ac:dyDescent="0.2">
      <c r="B17" s="4" t="s">
        <v>11</v>
      </c>
      <c r="E17" s="16" t="e">
        <f>E11-E13</f>
        <v>#REF!</v>
      </c>
      <c r="F17" s="16" t="e">
        <f>F11-F13</f>
        <v>#REF!</v>
      </c>
      <c r="G17" s="16" t="e">
        <f>G9*$M$17</f>
        <v>#REF!</v>
      </c>
      <c r="H17" s="16" t="e">
        <f>H9*$M$17</f>
        <v>#REF!</v>
      </c>
      <c r="I17" s="16" t="e">
        <f>I9*$M$17</f>
        <v>#REF!</v>
      </c>
      <c r="L17" s="52"/>
      <c r="M17" s="38">
        <v>1.55E-2</v>
      </c>
      <c r="N17" s="5" t="s">
        <v>78</v>
      </c>
      <c r="O17" s="5"/>
      <c r="P17" s="53"/>
    </row>
    <row r="18" spans="2:16" x14ac:dyDescent="0.2">
      <c r="B18" s="4" t="s">
        <v>12</v>
      </c>
      <c r="E18" s="16" t="e">
        <f>-#REF!</f>
        <v>#REF!</v>
      </c>
      <c r="F18" s="16" t="e">
        <f>-#REF!</f>
        <v>#REF!</v>
      </c>
      <c r="G18" s="16" t="e">
        <f>-G9*$M$18</f>
        <v>#REF!</v>
      </c>
      <c r="H18" s="16" t="e">
        <f>-H9*$M$18</f>
        <v>#REF!</v>
      </c>
      <c r="I18" s="16" t="e">
        <f>-I9*$M$18</f>
        <v>#REF!</v>
      </c>
      <c r="L18" s="52"/>
      <c r="M18" s="38">
        <v>2.1999999999999999E-2</v>
      </c>
      <c r="N18" s="5" t="s">
        <v>47</v>
      </c>
      <c r="O18" s="5"/>
      <c r="P18" s="53"/>
    </row>
    <row r="19" spans="2:16" x14ac:dyDescent="0.2">
      <c r="B19" s="4" t="s">
        <v>13</v>
      </c>
      <c r="E19" s="19" t="e">
        <f>-(E9-D9)*$M$19</f>
        <v>#REF!</v>
      </c>
      <c r="F19" s="19" t="e">
        <f>-(F9-E9)*$M$19</f>
        <v>#REF!</v>
      </c>
      <c r="G19" s="19" t="e">
        <f>-(G9-F9)*$M$19</f>
        <v>#REF!</v>
      </c>
      <c r="H19" s="19" t="e">
        <f>-(H9-G9)*$M$19</f>
        <v>#REF!</v>
      </c>
      <c r="I19" s="19" t="e">
        <f>-(I9-H9)*$M$19</f>
        <v>#REF!</v>
      </c>
      <c r="L19" s="52"/>
      <c r="M19" s="38">
        <v>0.1</v>
      </c>
      <c r="N19" s="5" t="s">
        <v>66</v>
      </c>
      <c r="O19" s="5"/>
      <c r="P19" s="53"/>
    </row>
    <row r="20" spans="2:16" x14ac:dyDescent="0.2">
      <c r="L20" s="52"/>
      <c r="M20" s="48"/>
      <c r="N20" s="5"/>
      <c r="O20" s="5"/>
      <c r="P20" s="53"/>
    </row>
    <row r="21" spans="2:16" x14ac:dyDescent="0.2">
      <c r="B21" s="21" t="s">
        <v>2</v>
      </c>
      <c r="C21" s="7"/>
      <c r="D21" s="7"/>
      <c r="E21" s="12" t="e">
        <f>SUM(E15,E17:E19)</f>
        <v>#REF!</v>
      </c>
      <c r="F21" s="12" t="e">
        <f>SUM(F15,F17:F19)</f>
        <v>#REF!</v>
      </c>
      <c r="G21" s="12" t="e">
        <f>SUM(G15,G17:G19)</f>
        <v>#REF!</v>
      </c>
      <c r="H21" s="12" t="e">
        <f>SUM(H15,H17:H19)</f>
        <v>#REF!</v>
      </c>
      <c r="I21" s="13" t="e">
        <f>SUM(I15,I17:I19)</f>
        <v>#REF!</v>
      </c>
      <c r="L21" s="52"/>
      <c r="M21" s="48"/>
      <c r="N21" s="5"/>
      <c r="O21" s="5"/>
      <c r="P21" s="53"/>
    </row>
    <row r="22" spans="2:16" x14ac:dyDescent="0.2">
      <c r="L22" s="52"/>
      <c r="M22" s="48"/>
      <c r="N22" s="5"/>
      <c r="O22" s="5"/>
      <c r="P22" s="53"/>
    </row>
    <row r="23" spans="2:16" x14ac:dyDescent="0.2">
      <c r="B23" s="3" t="str">
        <f>"Assumed Tansaction Date of " &amp;TEXT($M$23,"mm/dd/yy")</f>
        <v>Assumed Tansaction Date of 11/20/06</v>
      </c>
      <c r="L23" s="52"/>
      <c r="M23" s="39">
        <v>39041</v>
      </c>
      <c r="N23" s="5" t="s">
        <v>68</v>
      </c>
      <c r="O23" s="5"/>
      <c r="P23" s="53"/>
    </row>
    <row r="24" spans="2:16" x14ac:dyDescent="0.2">
      <c r="B24" t="str">
        <f>"PV of FCF @ a Discount Rate of " &amp;TEXT($M$24,"0%")</f>
        <v>PV of FCF @ a Discount Rate of 11%</v>
      </c>
      <c r="E24" s="15" t="e">
        <f>E21/(1+$M$24)^((E7-$M$23)/365)</f>
        <v>#REF!</v>
      </c>
      <c r="F24" s="15" t="e">
        <f>F21/(1+$M$24)^((F7-$M$23)/365)</f>
        <v>#REF!</v>
      </c>
      <c r="G24" s="15" t="e">
        <f>G21/(1+$M$24)^((G7-$M$23)/365)</f>
        <v>#REF!</v>
      </c>
      <c r="H24" s="15" t="e">
        <f>H21/(1+$M$24)^((H7-$M$23)/365)</f>
        <v>#REF!</v>
      </c>
      <c r="I24" s="15" t="e">
        <f>I21/(1+$M$24)^((I7-$M$23)/365)</f>
        <v>#REF!</v>
      </c>
      <c r="L24" s="52"/>
      <c r="M24" s="40">
        <f>D33</f>
        <v>0.11</v>
      </c>
      <c r="N24" s="5" t="s">
        <v>67</v>
      </c>
      <c r="O24" s="5"/>
      <c r="P24" s="53"/>
    </row>
    <row r="25" spans="2:16" x14ac:dyDescent="0.2">
      <c r="L25" s="52"/>
      <c r="M25" s="41"/>
      <c r="N25" s="5"/>
      <c r="O25" s="5"/>
      <c r="P25" s="53"/>
    </row>
    <row r="26" spans="2:16" x14ac:dyDescent="0.2">
      <c r="B26" t="str">
        <f>"Assumed EBITDA Exit Multiple of " &amp;TEXT($M$26,"0.0x")</f>
        <v>Assumed EBITDA Exit Multiple of 9.0x</v>
      </c>
      <c r="L26" s="52"/>
      <c r="M26" s="42">
        <f>G30</f>
        <v>9</v>
      </c>
      <c r="N26" s="5" t="s">
        <v>69</v>
      </c>
      <c r="O26" s="5"/>
      <c r="P26" s="53"/>
    </row>
    <row r="27" spans="2:16" x14ac:dyDescent="0.2">
      <c r="B27" t="e">
        <f>"PV of Terminal Value of " &amp;TEXT($M$28,"$0,0")</f>
        <v>#REF!</v>
      </c>
      <c r="L27" s="52"/>
      <c r="M27" s="43" t="e">
        <f>M26*I11</f>
        <v>#REF!</v>
      </c>
      <c r="N27" s="5" t="s">
        <v>36</v>
      </c>
      <c r="O27" s="5"/>
      <c r="P27" s="53"/>
    </row>
    <row r="28" spans="2:16" x14ac:dyDescent="0.2">
      <c r="L28" s="52"/>
      <c r="M28" s="125" t="e">
        <f>M27/(1+M24)^(($I$7-$M$23)/365)</f>
        <v>#REF!</v>
      </c>
      <c r="N28" s="5" t="s">
        <v>35</v>
      </c>
      <c r="O28" s="5"/>
      <c r="P28" s="53"/>
    </row>
    <row r="29" spans="2:16" x14ac:dyDescent="0.2">
      <c r="B29" s="1" t="s">
        <v>77</v>
      </c>
      <c r="E29" s="23" t="s">
        <v>71</v>
      </c>
      <c r="F29" s="24"/>
      <c r="G29" s="24"/>
      <c r="H29" s="24"/>
      <c r="I29" s="24"/>
      <c r="L29" s="52"/>
      <c r="M29" s="48"/>
      <c r="N29" s="5"/>
      <c r="O29" s="5"/>
      <c r="P29" s="53"/>
    </row>
    <row r="30" spans="2:16" x14ac:dyDescent="0.2">
      <c r="D30" s="105" t="e">
        <f>SUM(E24:I24)+M28</f>
        <v>#REF!</v>
      </c>
      <c r="E30" s="104">
        <f>F30-$M$31</f>
        <v>7</v>
      </c>
      <c r="F30" s="104">
        <f>G30-$M$31</f>
        <v>8</v>
      </c>
      <c r="G30" s="104">
        <v>9</v>
      </c>
      <c r="H30" s="104">
        <f>G30+$M$31</f>
        <v>10</v>
      </c>
      <c r="I30" s="104">
        <f>H30+$M$31</f>
        <v>11</v>
      </c>
      <c r="L30" s="52"/>
      <c r="M30" s="41"/>
      <c r="N30" s="5"/>
      <c r="O30" s="5"/>
      <c r="P30" s="53"/>
    </row>
    <row r="31" spans="2:16" x14ac:dyDescent="0.2">
      <c r="C31" s="393" t="s">
        <v>67</v>
      </c>
      <c r="D31" s="103">
        <f>D32-$M$32</f>
        <v>9.0000000000000011E-2</v>
      </c>
      <c r="E31" s="25" t="e">
        <f t="dataTable" ref="E31:I35" dt2D="1" dtr="0" r1="M26" r2="M24"/>
        <v>#REF!</v>
      </c>
      <c r="F31" s="26" t="e">
        <v>#REF!</v>
      </c>
      <c r="G31" s="26" t="e">
        <v>#REF!</v>
      </c>
      <c r="H31" s="26" t="e">
        <v>#REF!</v>
      </c>
      <c r="I31" s="26" t="e">
        <v>#REF!</v>
      </c>
      <c r="L31" s="52"/>
      <c r="M31" s="44">
        <v>1</v>
      </c>
      <c r="N31" s="5" t="s">
        <v>70</v>
      </c>
      <c r="O31" s="5"/>
      <c r="P31" s="53"/>
    </row>
    <row r="32" spans="2:16" x14ac:dyDescent="0.2">
      <c r="C32" s="393"/>
      <c r="D32" s="103">
        <f>D33-$M$32</f>
        <v>0.1</v>
      </c>
      <c r="E32" s="27" t="e">
        <v>#REF!</v>
      </c>
      <c r="F32" s="28" t="e">
        <v>#REF!</v>
      </c>
      <c r="G32" s="29" t="e">
        <v>#REF!</v>
      </c>
      <c r="H32" s="62" t="e">
        <v>#REF!</v>
      </c>
      <c r="I32" s="26" t="e">
        <v>#REF!</v>
      </c>
      <c r="L32" s="52"/>
      <c r="M32" s="38">
        <v>0.01</v>
      </c>
      <c r="N32" s="5" t="s">
        <v>72</v>
      </c>
      <c r="O32" s="5"/>
      <c r="P32" s="53"/>
    </row>
    <row r="33" spans="1:16" x14ac:dyDescent="0.2">
      <c r="C33" s="393"/>
      <c r="D33" s="103">
        <v>0.11</v>
      </c>
      <c r="E33" s="27" t="e">
        <v>#REF!</v>
      </c>
      <c r="F33" s="30" t="e">
        <v>#REF!</v>
      </c>
      <c r="G33" s="34" t="e">
        <v>#REF!</v>
      </c>
      <c r="H33" s="31" t="e">
        <v>#REF!</v>
      </c>
      <c r="I33" s="26" t="e">
        <v>#REF!</v>
      </c>
      <c r="L33" s="52"/>
      <c r="M33" s="20"/>
      <c r="N33" s="5"/>
      <c r="O33" s="5"/>
      <c r="P33" s="53"/>
    </row>
    <row r="34" spans="1:16" x14ac:dyDescent="0.2">
      <c r="C34" s="393"/>
      <c r="D34" s="103">
        <f>D33+$M$32</f>
        <v>0.12</v>
      </c>
      <c r="E34" s="27" t="e">
        <v>#REF!</v>
      </c>
      <c r="F34" s="61" t="e">
        <v>#REF!</v>
      </c>
      <c r="G34" s="32" t="e">
        <v>#REF!</v>
      </c>
      <c r="H34" s="33" t="e">
        <v>#REF!</v>
      </c>
      <c r="I34" s="26" t="e">
        <v>#REF!</v>
      </c>
      <c r="L34" s="52"/>
      <c r="M34" s="20"/>
      <c r="N34" s="5"/>
      <c r="O34" s="5"/>
      <c r="P34" s="53"/>
    </row>
    <row r="35" spans="1:16" x14ac:dyDescent="0.2">
      <c r="C35" s="393"/>
      <c r="D35" s="103">
        <f>D34+$M$32</f>
        <v>0.13</v>
      </c>
      <c r="E35" s="27" t="e">
        <v>#REF!</v>
      </c>
      <c r="F35" s="26" t="e">
        <v>#REF!</v>
      </c>
      <c r="G35" s="26" t="e">
        <v>#REF!</v>
      </c>
      <c r="H35" s="26" t="e">
        <v>#REF!</v>
      </c>
      <c r="I35" s="26" t="e">
        <v>#REF!</v>
      </c>
      <c r="L35" s="52"/>
      <c r="M35" s="20"/>
      <c r="N35" s="5"/>
      <c r="O35" s="5"/>
      <c r="P35" s="53"/>
    </row>
    <row r="36" spans="1:16" x14ac:dyDescent="0.2">
      <c r="L36" s="50"/>
      <c r="M36" s="58"/>
      <c r="N36" s="50"/>
      <c r="O36" s="50"/>
      <c r="P36" s="50"/>
    </row>
    <row r="37" spans="1:16" ht="13.5" thickBot="1" x14ac:dyDescent="0.25">
      <c r="B37" s="63"/>
      <c r="C37" s="63"/>
      <c r="D37" s="63"/>
      <c r="E37" s="63"/>
      <c r="F37" s="63"/>
      <c r="G37" s="63"/>
      <c r="H37" s="63"/>
      <c r="I37" s="63"/>
      <c r="M37" s="20"/>
    </row>
    <row r="38" spans="1:16" ht="3.75" customHeight="1" x14ac:dyDescent="0.2">
      <c r="E38" s="60"/>
      <c r="F38" s="60"/>
    </row>
    <row r="39" spans="1:16" x14ac:dyDescent="0.2">
      <c r="B39" t="s">
        <v>43</v>
      </c>
      <c r="E39" s="60"/>
      <c r="F39" s="60"/>
      <c r="G39" s="60"/>
      <c r="H39" s="60"/>
      <c r="I39" s="60"/>
    </row>
    <row r="42" spans="1:16" ht="23.25" x14ac:dyDescent="0.35">
      <c r="A42" s="72" t="s">
        <v>29</v>
      </c>
    </row>
    <row r="45" spans="1:16" ht="20.25" x14ac:dyDescent="0.3">
      <c r="A45" s="59" t="s">
        <v>59</v>
      </c>
      <c r="M45" s="70"/>
      <c r="N45" s="71" t="s">
        <v>57</v>
      </c>
      <c r="O45" s="36"/>
    </row>
    <row r="46" spans="1:16" x14ac:dyDescent="0.2">
      <c r="E46" s="2"/>
      <c r="H46" s="2"/>
      <c r="N46" s="37"/>
      <c r="O46" s="36"/>
    </row>
    <row r="47" spans="1:16" x14ac:dyDescent="0.2">
      <c r="A47" s="35" t="s">
        <v>27</v>
      </c>
    </row>
    <row r="48" spans="1:16" x14ac:dyDescent="0.2">
      <c r="B48" s="14"/>
      <c r="C48" s="6"/>
      <c r="D48" s="6"/>
      <c r="E48" s="6"/>
      <c r="F48" s="6"/>
      <c r="G48" s="6"/>
      <c r="H48" s="6"/>
      <c r="I48" s="6"/>
      <c r="M48" s="35" t="s">
        <v>6</v>
      </c>
    </row>
    <row r="49" spans="2:24" ht="4.5" customHeight="1" x14ac:dyDescent="0.2">
      <c r="C49" s="1"/>
      <c r="D49" s="1"/>
      <c r="F49" s="1"/>
      <c r="G49" s="1"/>
      <c r="H49" s="1"/>
      <c r="I49" s="1"/>
      <c r="L49" s="49"/>
      <c r="M49" s="50"/>
      <c r="N49" s="50"/>
      <c r="O49" s="50"/>
      <c r="P49" s="51"/>
    </row>
    <row r="50" spans="2:24" x14ac:dyDescent="0.2">
      <c r="B50" s="101" t="s">
        <v>41</v>
      </c>
      <c r="C50" s="102"/>
      <c r="D50" s="102">
        <v>38773</v>
      </c>
      <c r="E50" s="102">
        <v>39138</v>
      </c>
      <c r="F50" s="102">
        <v>39503</v>
      </c>
      <c r="G50" s="102">
        <v>39869</v>
      </c>
      <c r="H50" s="102">
        <v>40234</v>
      </c>
      <c r="I50" s="102">
        <v>40599</v>
      </c>
      <c r="L50" s="52"/>
      <c r="M50" s="5"/>
      <c r="N50" s="5"/>
      <c r="O50" s="5"/>
      <c r="P50" s="53"/>
    </row>
    <row r="51" spans="2:24" x14ac:dyDescent="0.2">
      <c r="L51" s="52"/>
      <c r="M51" s="117">
        <v>185.7</v>
      </c>
      <c r="N51" s="74" t="s">
        <v>10</v>
      </c>
      <c r="O51" s="74"/>
      <c r="P51" s="75"/>
    </row>
    <row r="52" spans="2:24" x14ac:dyDescent="0.2">
      <c r="B52" s="1" t="s">
        <v>32</v>
      </c>
      <c r="D52" s="84">
        <f>M51</f>
        <v>185.7</v>
      </c>
      <c r="E52" s="84">
        <f>D52*(1+$M$52)</f>
        <v>222.83999999999997</v>
      </c>
      <c r="F52" s="84">
        <f>E52*(1+$M$52)</f>
        <v>267.40799999999996</v>
      </c>
      <c r="G52" s="84">
        <f>F52*(1+$M$52)</f>
        <v>320.88959999999992</v>
      </c>
      <c r="H52" s="84">
        <f>G52*(1+$M$52)</f>
        <v>385.06751999999989</v>
      </c>
      <c r="I52" s="84">
        <f>H52*(1+$M$52)</f>
        <v>462.08102399999984</v>
      </c>
      <c r="J52" s="3"/>
      <c r="L52" s="54"/>
      <c r="M52" s="38">
        <v>0.2</v>
      </c>
      <c r="N52" s="5" t="s">
        <v>34</v>
      </c>
      <c r="O52" s="5"/>
      <c r="P52" s="75"/>
      <c r="R52" s="35" t="s">
        <v>30</v>
      </c>
    </row>
    <row r="53" spans="2:24" x14ac:dyDescent="0.2">
      <c r="I53" s="83" t="s">
        <v>44</v>
      </c>
      <c r="L53" s="52"/>
      <c r="M53" s="38">
        <v>0.1</v>
      </c>
      <c r="N53" s="5" t="s">
        <v>26</v>
      </c>
      <c r="O53" s="9"/>
      <c r="P53" s="75"/>
    </row>
    <row r="54" spans="2:24" x14ac:dyDescent="0.2">
      <c r="B54" s="3" t="s">
        <v>0</v>
      </c>
      <c r="C54" s="3"/>
      <c r="D54" s="3"/>
      <c r="E54" s="85">
        <f>$M$53*E52</f>
        <v>22.283999999999999</v>
      </c>
      <c r="F54" s="85">
        <f>$M$53*F52</f>
        <v>26.740799999999997</v>
      </c>
      <c r="G54" s="85">
        <f>$M$53*G52</f>
        <v>32.088959999999993</v>
      </c>
      <c r="H54" s="85">
        <f>$M$53*H52</f>
        <v>38.506751999999992</v>
      </c>
      <c r="I54" s="85">
        <f>$M$53*I52</f>
        <v>46.208102399999987</v>
      </c>
      <c r="L54" s="56"/>
      <c r="M54" s="38">
        <v>0.35</v>
      </c>
      <c r="N54" s="5" t="s">
        <v>55</v>
      </c>
      <c r="O54" s="5"/>
      <c r="P54" s="76"/>
      <c r="R54" s="1" t="s">
        <v>54</v>
      </c>
    </row>
    <row r="55" spans="2:24" x14ac:dyDescent="0.2">
      <c r="L55" s="52"/>
      <c r="M55" s="47"/>
      <c r="N55" s="10"/>
      <c r="O55" s="10"/>
      <c r="P55" s="78"/>
      <c r="R55" t="s">
        <v>80</v>
      </c>
    </row>
    <row r="56" spans="2:24" s="9" customFormat="1" x14ac:dyDescent="0.2">
      <c r="B56" s="8" t="s">
        <v>1</v>
      </c>
      <c r="E56" s="86">
        <f>E54-E60</f>
        <v>20.055599999999998</v>
      </c>
      <c r="F56" s="86">
        <f>F54-F60</f>
        <v>24.066719999999997</v>
      </c>
      <c r="G56" s="86">
        <f>G54-G60</f>
        <v>28.880063999999994</v>
      </c>
      <c r="H56" s="86">
        <f>H54-H60</f>
        <v>34.656076799999994</v>
      </c>
      <c r="I56" s="86">
        <f>I54-I60</f>
        <v>41.58729215999999</v>
      </c>
      <c r="J56" s="22"/>
      <c r="K56" s="22"/>
      <c r="L56" s="52"/>
      <c r="M56" s="48"/>
      <c r="N56" s="5"/>
      <c r="O56" s="5"/>
      <c r="P56" s="78"/>
      <c r="R56" s="9" t="s">
        <v>60</v>
      </c>
    </row>
    <row r="57" spans="2:24" x14ac:dyDescent="0.2">
      <c r="B57" s="4" t="str">
        <f>"Less: Estimated Taxes at " &amp;TEXT($M$45,"0%")</f>
        <v>Less: Estimated Taxes at 0%</v>
      </c>
      <c r="E57" s="119">
        <f>IF(E56&lt;0,0,E56*$M$54)</f>
        <v>7.0194599999999987</v>
      </c>
      <c r="F57" s="119">
        <f>IF(F56&lt;0,0,F56*$M$54)</f>
        <v>8.4233519999999977</v>
      </c>
      <c r="G57" s="119">
        <f>IF(G56&lt;0,0,G56*$M$54)</f>
        <v>10.108022399999998</v>
      </c>
      <c r="H57" s="119">
        <f>IF(H56&lt;0,0,H56*$M$54)</f>
        <v>12.129626879999996</v>
      </c>
      <c r="I57" s="119">
        <f>IF(I56&lt;0,0,I56*$M$54)</f>
        <v>14.555552255999995</v>
      </c>
      <c r="L57" s="52"/>
      <c r="M57" s="38">
        <v>0.01</v>
      </c>
      <c r="N57" s="5" t="s">
        <v>78</v>
      </c>
      <c r="O57" s="5"/>
      <c r="P57" s="78"/>
      <c r="R57" s="64" t="s">
        <v>61</v>
      </c>
    </row>
    <row r="58" spans="2:24" s="1" customFormat="1" x14ac:dyDescent="0.2">
      <c r="B58" s="17" t="s">
        <v>56</v>
      </c>
      <c r="E58" s="84">
        <f>E56-E57</f>
        <v>13.03614</v>
      </c>
      <c r="F58" s="84">
        <f>F56-F57</f>
        <v>15.643367999999999</v>
      </c>
      <c r="G58" s="84">
        <f>G56-G57</f>
        <v>18.772041599999994</v>
      </c>
      <c r="H58" s="84">
        <f>H56-H57</f>
        <v>22.526449919999997</v>
      </c>
      <c r="I58" s="84">
        <f>I56-I57</f>
        <v>27.031739903999995</v>
      </c>
      <c r="L58" s="52"/>
      <c r="M58" s="38">
        <v>0.05</v>
      </c>
      <c r="N58" s="5" t="s">
        <v>47</v>
      </c>
      <c r="O58" s="5"/>
      <c r="P58" s="78"/>
      <c r="R58" s="65" t="s">
        <v>7</v>
      </c>
    </row>
    <row r="59" spans="2:24" x14ac:dyDescent="0.2">
      <c r="L59" s="52"/>
      <c r="M59" s="38"/>
      <c r="N59" s="5"/>
      <c r="O59" s="5"/>
      <c r="P59" s="78"/>
      <c r="R59" s="65" t="s">
        <v>73</v>
      </c>
    </row>
    <row r="60" spans="2:24" x14ac:dyDescent="0.2">
      <c r="B60" s="4" t="s">
        <v>11</v>
      </c>
      <c r="E60" s="87">
        <f>$M$57*E52</f>
        <v>2.2283999999999997</v>
      </c>
      <c r="F60" s="87">
        <f>$M$57*F52</f>
        <v>2.6740799999999996</v>
      </c>
      <c r="G60" s="87">
        <f>$M$57*G52</f>
        <v>3.2088959999999993</v>
      </c>
      <c r="H60" s="87">
        <f>$M$57*H52</f>
        <v>3.8506751999999991</v>
      </c>
      <c r="I60" s="87">
        <f>$M$57*I52</f>
        <v>4.6208102399999982</v>
      </c>
      <c r="L60" s="52"/>
      <c r="M60" s="48"/>
      <c r="N60" s="5"/>
      <c r="O60" s="5"/>
      <c r="P60" s="78"/>
      <c r="R60" s="65" t="s">
        <v>62</v>
      </c>
    </row>
    <row r="61" spans="2:24" x14ac:dyDescent="0.2">
      <c r="B61" s="4" t="s">
        <v>12</v>
      </c>
      <c r="E61" s="87">
        <f>-$M$58*E52</f>
        <v>-11.141999999999999</v>
      </c>
      <c r="F61" s="87">
        <f>-$M$58*F52</f>
        <v>-13.370399999999998</v>
      </c>
      <c r="G61" s="87">
        <f>-$M$58*G52</f>
        <v>-16.044479999999997</v>
      </c>
      <c r="H61" s="87">
        <f>-$M$58*H52</f>
        <v>-19.253375999999996</v>
      </c>
      <c r="I61" s="87">
        <f>-$M$58*I52</f>
        <v>-23.104051199999994</v>
      </c>
      <c r="L61" s="52"/>
      <c r="M61" s="48"/>
      <c r="N61" s="5"/>
      <c r="O61" s="5"/>
      <c r="P61" s="78"/>
      <c r="R61" s="65" t="s">
        <v>14</v>
      </c>
    </row>
    <row r="62" spans="2:24" x14ac:dyDescent="0.2">
      <c r="B62" s="4" t="s">
        <v>13</v>
      </c>
      <c r="E62" s="88">
        <f>T75</f>
        <v>1.0599999999999987</v>
      </c>
      <c r="F62" s="88">
        <f>U75</f>
        <v>-0.76000000000000156</v>
      </c>
      <c r="G62" s="88">
        <f>V75</f>
        <v>-1.6199999999999974</v>
      </c>
      <c r="H62" s="88">
        <f>W75</f>
        <v>-2.1900000000000048</v>
      </c>
      <c r="I62" s="88">
        <f>X75</f>
        <v>-2.8000000000000043</v>
      </c>
      <c r="L62" s="52"/>
      <c r="M62" s="48"/>
      <c r="N62" s="5"/>
      <c r="O62" s="5"/>
      <c r="P62" s="78"/>
    </row>
    <row r="63" spans="2:24" x14ac:dyDescent="0.2">
      <c r="L63" s="52"/>
      <c r="M63" s="39">
        <v>39041</v>
      </c>
      <c r="N63" s="5" t="s">
        <v>68</v>
      </c>
      <c r="O63" s="5"/>
      <c r="P63" s="78"/>
      <c r="R63" t="s">
        <v>42</v>
      </c>
    </row>
    <row r="64" spans="2:24" x14ac:dyDescent="0.2">
      <c r="B64" s="21" t="s">
        <v>2</v>
      </c>
      <c r="C64" s="7"/>
      <c r="D64" s="7"/>
      <c r="E64" s="120">
        <f>SUM(E58,E60:E62)</f>
        <v>5.1825399999999995</v>
      </c>
      <c r="F64" s="120">
        <f>SUM(F58,F60:F62)</f>
        <v>4.187047999999999</v>
      </c>
      <c r="G64" s="120">
        <f>SUM(G58,G60:G62)</f>
        <v>4.3164575999999997</v>
      </c>
      <c r="H64" s="120">
        <f>SUM(H58,H60:H62)</f>
        <v>4.9337491199999945</v>
      </c>
      <c r="I64" s="121">
        <f>SUM(I58,I60:I62)</f>
        <v>5.7484989439999943</v>
      </c>
      <c r="L64" s="52"/>
      <c r="M64" s="40">
        <f>D76</f>
        <v>0.21</v>
      </c>
      <c r="N64" s="5" t="s">
        <v>67</v>
      </c>
      <c r="O64" s="5"/>
      <c r="P64" s="78"/>
      <c r="S64" s="66" t="s">
        <v>15</v>
      </c>
      <c r="T64" s="66" t="s">
        <v>16</v>
      </c>
      <c r="U64" s="66" t="s">
        <v>17</v>
      </c>
      <c r="V64" s="66" t="s">
        <v>18</v>
      </c>
      <c r="W64" s="66" t="s">
        <v>19</v>
      </c>
      <c r="X64" s="66" t="s">
        <v>20</v>
      </c>
    </row>
    <row r="65" spans="2:24" x14ac:dyDescent="0.2">
      <c r="L65" s="52"/>
      <c r="M65" s="41"/>
      <c r="N65" s="5"/>
      <c r="O65" s="5"/>
      <c r="P65" s="78"/>
      <c r="R65" s="67" t="s">
        <v>21</v>
      </c>
      <c r="S65" s="68">
        <v>3</v>
      </c>
      <c r="T65" s="68">
        <v>3.66</v>
      </c>
      <c r="U65" s="68">
        <v>4.2</v>
      </c>
      <c r="V65" s="68">
        <v>4.96</v>
      </c>
      <c r="W65" s="68">
        <v>6.2</v>
      </c>
      <c r="X65" s="68">
        <v>6.88</v>
      </c>
    </row>
    <row r="66" spans="2:24" x14ac:dyDescent="0.2">
      <c r="B66" s="3" t="str">
        <f>"Assumed Tansaction Date of " &amp;TEXT($M$63,"mm/dd/yy")</f>
        <v>Assumed Tansaction Date of 11/20/06</v>
      </c>
      <c r="L66" s="52"/>
      <c r="M66" s="42">
        <f>G73</f>
        <v>8.5</v>
      </c>
      <c r="N66" s="5" t="s">
        <v>69</v>
      </c>
      <c r="O66" s="5"/>
      <c r="P66" s="78"/>
      <c r="R66" s="67" t="s">
        <v>22</v>
      </c>
      <c r="S66" s="68">
        <v>23.4</v>
      </c>
      <c r="T66" s="68">
        <v>26.6</v>
      </c>
      <c r="U66" s="68">
        <v>32.6</v>
      </c>
      <c r="V66" s="68">
        <v>38.799999999999997</v>
      </c>
      <c r="W66" s="68">
        <v>42.2</v>
      </c>
      <c r="X66" s="68">
        <v>48.8</v>
      </c>
    </row>
    <row r="67" spans="2:24" x14ac:dyDescent="0.2">
      <c r="B67" t="str">
        <f>"PV of FCF @ a Discount Rate of " &amp;TEXT($M$64,"0%")</f>
        <v>PV of FCF @ a Discount Rate of 21%</v>
      </c>
      <c r="E67" s="123">
        <f>E64/(1+$M$64)^((E50-$M$63)/365)</f>
        <v>4.9265417445043944</v>
      </c>
      <c r="F67" s="123">
        <f>F64/(1+$M$64)^((F50-$M$63)/365)</f>
        <v>3.2894407911733046</v>
      </c>
      <c r="G67" s="123">
        <f>G64/(1+$M$64)^((G50-$M$63)/365)</f>
        <v>2.8011052900026332</v>
      </c>
      <c r="H67" s="123">
        <f>H64/(1+$M$64)^((H50-$M$63)/365)</f>
        <v>2.6460231901135787</v>
      </c>
      <c r="I67" s="123">
        <f>I64/(1+$M$64)^((I50-$M$63)/365)</f>
        <v>2.5479193072159667</v>
      </c>
      <c r="L67" s="52"/>
      <c r="M67" s="122">
        <f>M66*I54</f>
        <v>392.76887039999991</v>
      </c>
      <c r="N67" s="5" t="s">
        <v>36</v>
      </c>
      <c r="O67" s="5"/>
      <c r="P67" s="78"/>
      <c r="R67" s="111" t="s">
        <v>23</v>
      </c>
      <c r="S67" s="112">
        <v>4.5999999999999996</v>
      </c>
      <c r="T67" s="112">
        <v>2.1</v>
      </c>
      <c r="U67" s="112">
        <v>1.4</v>
      </c>
      <c r="V67" s="112">
        <v>0.89</v>
      </c>
      <c r="W67" s="112">
        <v>3.3</v>
      </c>
      <c r="X67" s="112">
        <v>5.2</v>
      </c>
    </row>
    <row r="68" spans="2:24" x14ac:dyDescent="0.2">
      <c r="L68" s="52"/>
      <c r="M68" s="122">
        <f>M67/(1+M64)^(($I$50-$M$63)/365)</f>
        <v>174.0877745502751</v>
      </c>
      <c r="N68" s="5" t="s">
        <v>35</v>
      </c>
      <c r="O68" s="5"/>
      <c r="P68" s="78"/>
      <c r="Q68" s="5" t="s">
        <v>46</v>
      </c>
      <c r="R68" s="5"/>
      <c r="S68" s="113">
        <f t="shared" ref="S68:X68" si="0">SUM(S65:S67)</f>
        <v>31</v>
      </c>
      <c r="T68" s="113">
        <f t="shared" si="0"/>
        <v>32.36</v>
      </c>
      <c r="U68" s="113">
        <f t="shared" si="0"/>
        <v>38.200000000000003</v>
      </c>
      <c r="V68" s="113">
        <f t="shared" si="0"/>
        <v>44.65</v>
      </c>
      <c r="W68" s="113">
        <f t="shared" si="0"/>
        <v>51.7</v>
      </c>
      <c r="X68" s="113">
        <f t="shared" si="0"/>
        <v>60.88</v>
      </c>
    </row>
    <row r="69" spans="2:24" x14ac:dyDescent="0.2">
      <c r="B69" t="str">
        <f>"Assumed EBITDA Exit Multiple of " &amp;TEXT($M$66,"0.0x")</f>
        <v>Assumed EBITDA Exit Multiple of 8.5x</v>
      </c>
      <c r="L69" s="52"/>
      <c r="M69" s="48"/>
      <c r="N69" s="5"/>
      <c r="O69" s="5"/>
      <c r="P69" s="78"/>
      <c r="Q69" s="6" t="s">
        <v>63</v>
      </c>
      <c r="R69" s="6"/>
      <c r="S69" s="6"/>
      <c r="T69" s="110">
        <f>S68-T68</f>
        <v>-1.3599999999999994</v>
      </c>
      <c r="U69" s="110">
        <f>T68-U68</f>
        <v>-5.8400000000000034</v>
      </c>
      <c r="V69" s="110">
        <f>U68-V68</f>
        <v>-6.4499999999999957</v>
      </c>
      <c r="W69" s="110">
        <f>V68-W68</f>
        <v>-7.0500000000000043</v>
      </c>
      <c r="X69" s="110">
        <f>W68-X68</f>
        <v>-9.18</v>
      </c>
    </row>
    <row r="70" spans="2:24" x14ac:dyDescent="0.2">
      <c r="B70" t="str">
        <f>"PV of Terminal Value of " &amp;TEXT($M$68,"$0,0")</f>
        <v>PV of Terminal Value of $174</v>
      </c>
      <c r="L70" s="52"/>
      <c r="M70" s="41"/>
      <c r="N70" s="5"/>
      <c r="O70" s="5"/>
      <c r="P70" s="78"/>
      <c r="Q70" s="5"/>
      <c r="R70" s="114" t="s">
        <v>24</v>
      </c>
      <c r="S70" s="115">
        <v>19.3</v>
      </c>
      <c r="T70" s="115">
        <v>21.44</v>
      </c>
      <c r="U70" s="115">
        <v>25.72</v>
      </c>
      <c r="V70" s="115">
        <v>29.32</v>
      </c>
      <c r="W70" s="115">
        <v>32.729999999999997</v>
      </c>
      <c r="X70" s="115">
        <v>37.799999999999997</v>
      </c>
    </row>
    <row r="71" spans="2:24" x14ac:dyDescent="0.2">
      <c r="D71" s="109"/>
      <c r="L71" s="52"/>
      <c r="M71" s="44">
        <v>1</v>
      </c>
      <c r="N71" s="5" t="s">
        <v>70</v>
      </c>
      <c r="O71" s="5"/>
      <c r="P71" s="78"/>
      <c r="Q71" s="5"/>
      <c r="R71" s="114" t="s">
        <v>25</v>
      </c>
      <c r="S71" s="116">
        <v>2.44</v>
      </c>
      <c r="T71" s="116">
        <v>2.56</v>
      </c>
      <c r="U71" s="116">
        <v>2.92</v>
      </c>
      <c r="V71" s="116">
        <v>3.55</v>
      </c>
      <c r="W71" s="116">
        <v>4.2</v>
      </c>
      <c r="X71" s="116">
        <v>4.91</v>
      </c>
    </row>
    <row r="72" spans="2:24" x14ac:dyDescent="0.2">
      <c r="B72" s="1" t="s">
        <v>77</v>
      </c>
      <c r="E72" s="23" t="s">
        <v>71</v>
      </c>
      <c r="F72" s="24"/>
      <c r="G72" s="24"/>
      <c r="H72" s="24"/>
      <c r="I72" s="24"/>
      <c r="L72" s="52"/>
      <c r="M72" s="38">
        <v>0.01</v>
      </c>
      <c r="N72" s="5" t="s">
        <v>72</v>
      </c>
      <c r="O72" s="5"/>
      <c r="P72" s="78"/>
      <c r="Q72" s="5"/>
      <c r="R72" s="114" t="s">
        <v>51</v>
      </c>
      <c r="S72" s="116">
        <v>2.5</v>
      </c>
      <c r="T72" s="116">
        <v>2.66</v>
      </c>
      <c r="U72" s="116">
        <v>3.1</v>
      </c>
      <c r="V72" s="116">
        <v>3.7</v>
      </c>
      <c r="W72" s="116">
        <v>4.5</v>
      </c>
      <c r="X72" s="116">
        <v>5.0999999999999996</v>
      </c>
    </row>
    <row r="73" spans="2:24" x14ac:dyDescent="0.2">
      <c r="D73" s="105">
        <f>SUM(E67:I67)+M68</f>
        <v>190.29880487328498</v>
      </c>
      <c r="E73" s="104">
        <f>F73-$M$71</f>
        <v>6.5</v>
      </c>
      <c r="F73" s="104">
        <f>G73-$M$71</f>
        <v>7.5</v>
      </c>
      <c r="G73" s="108">
        <v>8.5</v>
      </c>
      <c r="H73" s="104">
        <f>G73+$M$71</f>
        <v>9.5</v>
      </c>
      <c r="I73" s="104">
        <f>H73+$M$71</f>
        <v>10.5</v>
      </c>
      <c r="L73" s="52"/>
      <c r="M73" s="79"/>
      <c r="N73" s="77"/>
      <c r="O73" s="77"/>
      <c r="P73" s="78"/>
      <c r="Q73" s="5" t="s">
        <v>45</v>
      </c>
      <c r="R73" s="5"/>
      <c r="S73" s="113">
        <f t="shared" ref="S73:X73" si="1">SUM(S70:S72)</f>
        <v>24.240000000000002</v>
      </c>
      <c r="T73" s="113">
        <f t="shared" si="1"/>
        <v>26.66</v>
      </c>
      <c r="U73" s="113">
        <f t="shared" si="1"/>
        <v>31.740000000000002</v>
      </c>
      <c r="V73" s="113">
        <f t="shared" si="1"/>
        <v>36.57</v>
      </c>
      <c r="W73" s="113">
        <f t="shared" si="1"/>
        <v>41.43</v>
      </c>
      <c r="X73" s="113">
        <f t="shared" si="1"/>
        <v>47.809999999999995</v>
      </c>
    </row>
    <row r="74" spans="2:24" x14ac:dyDescent="0.2">
      <c r="C74" s="393" t="s">
        <v>67</v>
      </c>
      <c r="D74" s="106">
        <f>D75-$M$72</f>
        <v>0.18999999999999997</v>
      </c>
      <c r="E74" s="89">
        <f t="dataTable" ref="E74:I78" dt2D="1" dtr="0" r1="M66" r2="M64"/>
        <v>159.68896494651744</v>
      </c>
      <c r="F74" s="90">
        <v>181.68003928920416</v>
      </c>
      <c r="G74" s="90">
        <v>203.67111363189088</v>
      </c>
      <c r="H74" s="90">
        <v>225.66218797457759</v>
      </c>
      <c r="I74" s="90">
        <v>247.65326231726428</v>
      </c>
      <c r="L74" s="52"/>
      <c r="M74" s="79"/>
      <c r="N74" s="77"/>
      <c r="O74" s="77"/>
      <c r="P74" s="78"/>
      <c r="Q74" s="6" t="s">
        <v>33</v>
      </c>
      <c r="R74" s="6"/>
      <c r="S74" s="110"/>
      <c r="T74" s="110">
        <f>T73-S73</f>
        <v>2.4199999999999982</v>
      </c>
      <c r="U74" s="110">
        <f>U73-T73</f>
        <v>5.0800000000000018</v>
      </c>
      <c r="V74" s="110">
        <f>V73-U73</f>
        <v>4.8299999999999983</v>
      </c>
      <c r="W74" s="110">
        <f>W73-V73</f>
        <v>4.8599999999999994</v>
      </c>
      <c r="X74" s="110">
        <f>X73-W73</f>
        <v>6.3799999999999955</v>
      </c>
    </row>
    <row r="75" spans="2:24" x14ac:dyDescent="0.2">
      <c r="C75" s="393"/>
      <c r="D75" s="106">
        <f>D76-$M$72</f>
        <v>0.19999999999999998</v>
      </c>
      <c r="E75" s="91">
        <v>154.40073913225223</v>
      </c>
      <c r="F75" s="92">
        <v>175.62016004107744</v>
      </c>
      <c r="G75" s="93">
        <v>196.83958094990277</v>
      </c>
      <c r="H75" s="94">
        <v>218.05900185872804</v>
      </c>
      <c r="I75" s="90">
        <v>239.27842276755331</v>
      </c>
      <c r="L75" s="52"/>
      <c r="M75" s="77"/>
      <c r="N75" s="77"/>
      <c r="O75" s="77"/>
      <c r="P75" s="78"/>
      <c r="R75" s="67" t="s">
        <v>8</v>
      </c>
      <c r="T75" s="118">
        <f>T69+T74</f>
        <v>1.0599999999999987</v>
      </c>
      <c r="U75" s="118">
        <f>U69+U74</f>
        <v>-0.76000000000000156</v>
      </c>
      <c r="V75" s="118">
        <f>V69+V74</f>
        <v>-1.6199999999999974</v>
      </c>
      <c r="W75" s="118">
        <f>W69+W74</f>
        <v>-2.1900000000000048</v>
      </c>
      <c r="X75" s="118">
        <f>X69+X74</f>
        <v>-2.8000000000000043</v>
      </c>
    </row>
    <row r="76" spans="2:24" x14ac:dyDescent="0.2">
      <c r="C76" s="393"/>
      <c r="D76" s="107">
        <v>0.21</v>
      </c>
      <c r="E76" s="91">
        <v>149.3369755673379</v>
      </c>
      <c r="F76" s="95">
        <v>169.81789022031143</v>
      </c>
      <c r="G76" s="96">
        <v>190.29880487328498</v>
      </c>
      <c r="H76" s="97">
        <v>210.77971952625853</v>
      </c>
      <c r="I76" s="90">
        <v>231.26063417923206</v>
      </c>
      <c r="L76" s="52"/>
      <c r="M76" s="77"/>
      <c r="N76" s="77"/>
      <c r="O76" s="77"/>
      <c r="P76" s="78"/>
      <c r="R76" s="8"/>
      <c r="S76" s="69"/>
      <c r="T76" s="69"/>
      <c r="U76" s="69"/>
      <c r="V76" s="69"/>
      <c r="W76" s="69"/>
      <c r="X76" s="69"/>
    </row>
    <row r="77" spans="2:24" x14ac:dyDescent="0.2">
      <c r="C77" s="393"/>
      <c r="D77" s="106">
        <f>D76+$M$72</f>
        <v>0.22</v>
      </c>
      <c r="E77" s="91">
        <v>144.48635885899628</v>
      </c>
      <c r="F77" s="98">
        <v>164.26023403201879</v>
      </c>
      <c r="G77" s="99">
        <v>184.03410920504132</v>
      </c>
      <c r="H77" s="100">
        <v>203.80798437806382</v>
      </c>
      <c r="I77" s="90">
        <v>223.58185955108632</v>
      </c>
      <c r="L77" s="52"/>
      <c r="M77" s="77"/>
      <c r="N77" s="77"/>
      <c r="O77" s="77"/>
      <c r="P77" s="78"/>
      <c r="R77" s="8" t="s">
        <v>65</v>
      </c>
    </row>
    <row r="78" spans="2:24" x14ac:dyDescent="0.2">
      <c r="C78" s="393"/>
      <c r="D78" s="106">
        <f>D77+$M$72</f>
        <v>0.23</v>
      </c>
      <c r="E78" s="91">
        <v>139.8382312423611</v>
      </c>
      <c r="F78" s="90">
        <v>158.93495129326658</v>
      </c>
      <c r="G78" s="90">
        <v>178.03167134417208</v>
      </c>
      <c r="H78" s="90">
        <v>197.12839139507753</v>
      </c>
      <c r="I78" s="90">
        <v>216.225111445983</v>
      </c>
      <c r="L78" s="52"/>
      <c r="M78" s="77"/>
      <c r="N78" s="77"/>
      <c r="O78" s="77"/>
      <c r="P78" s="78"/>
      <c r="R78" s="8" t="s">
        <v>52</v>
      </c>
      <c r="T78" s="69"/>
      <c r="U78" s="69"/>
      <c r="V78" s="69"/>
      <c r="W78" s="69"/>
      <c r="X78" s="69"/>
    </row>
    <row r="79" spans="2:24" x14ac:dyDescent="0.2">
      <c r="L79" s="52"/>
      <c r="M79" s="79"/>
      <c r="N79" s="77"/>
      <c r="O79" s="77"/>
      <c r="P79" s="78"/>
      <c r="R79" t="s">
        <v>58</v>
      </c>
    </row>
    <row r="80" spans="2:24" ht="13.5" thickBot="1" x14ac:dyDescent="0.25">
      <c r="B80" s="63"/>
      <c r="C80" s="63"/>
      <c r="D80" s="63"/>
      <c r="E80" s="63"/>
      <c r="F80" s="63"/>
      <c r="G80" s="63"/>
      <c r="H80" s="63"/>
      <c r="I80" s="63"/>
      <c r="L80" s="73"/>
      <c r="M80" s="80"/>
      <c r="N80" s="81"/>
      <c r="O80" s="81"/>
      <c r="P80" s="82"/>
      <c r="R80" t="s">
        <v>5</v>
      </c>
    </row>
    <row r="81" spans="2:24" ht="5.0999999999999996" customHeight="1" x14ac:dyDescent="0.2"/>
    <row r="82" spans="2:24" x14ac:dyDescent="0.2">
      <c r="B82" t="s">
        <v>43</v>
      </c>
      <c r="E82" s="124"/>
    </row>
    <row r="83" spans="2:24" x14ac:dyDescent="0.2">
      <c r="R83" s="67" t="s">
        <v>9</v>
      </c>
      <c r="S83" s="118">
        <f t="shared" ref="S83:X83" si="2">S68-S73</f>
        <v>6.759999999999998</v>
      </c>
      <c r="T83" s="118">
        <f t="shared" si="2"/>
        <v>5.6999999999999993</v>
      </c>
      <c r="U83" s="118">
        <f t="shared" si="2"/>
        <v>6.4600000000000009</v>
      </c>
      <c r="V83" s="118">
        <f t="shared" si="2"/>
        <v>8.0799999999999983</v>
      </c>
      <c r="W83" s="118">
        <f t="shared" si="2"/>
        <v>10.270000000000003</v>
      </c>
      <c r="X83" s="118">
        <f t="shared" si="2"/>
        <v>13.070000000000007</v>
      </c>
    </row>
    <row r="84" spans="2:24" x14ac:dyDescent="0.2">
      <c r="R84" s="67" t="s">
        <v>8</v>
      </c>
      <c r="T84" s="118">
        <f>T83-S83</f>
        <v>-1.0599999999999987</v>
      </c>
      <c r="U84" s="118">
        <f>U83-T83</f>
        <v>0.76000000000000156</v>
      </c>
      <c r="V84" s="118">
        <f>V83-U83</f>
        <v>1.6199999999999974</v>
      </c>
      <c r="W84" s="118">
        <f>W83-V83</f>
        <v>2.1900000000000048</v>
      </c>
      <c r="X84" s="118">
        <f>X83-W83</f>
        <v>2.8000000000000043</v>
      </c>
    </row>
  </sheetData>
  <mergeCells count="2">
    <mergeCell ref="C31:C35"/>
    <mergeCell ref="C74:C78"/>
  </mergeCells>
  <phoneticPr fontId="3" type="noConversion"/>
  <pageMargins left="0.5" right="0.5" top="0.5" bottom="0.5" header="0.5" footer="0.5"/>
  <pageSetup scale="8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AFA4-37A9-40DF-8020-D09A992060B2}">
  <sheetPr>
    <pageSetUpPr fitToPage="1"/>
  </sheetPr>
  <dimension ref="A1:DN847"/>
  <sheetViews>
    <sheetView showGridLines="0" tabSelected="1" topLeftCell="I24" zoomScale="90" zoomScaleNormal="90" workbookViewId="0">
      <selection activeCell="O45" sqref="O45"/>
    </sheetView>
  </sheetViews>
  <sheetFormatPr defaultColWidth="5.85546875" defaultRowHeight="12.75" x14ac:dyDescent="0.2"/>
  <cols>
    <col min="1" max="1" width="21.85546875" customWidth="1"/>
    <col min="2" max="2" width="11.140625" customWidth="1"/>
    <col min="3" max="3" width="3.140625" bestFit="1" customWidth="1"/>
    <col min="4" max="4" width="9.5703125" bestFit="1" customWidth="1"/>
    <col min="5" max="5" width="8.28515625" bestFit="1" customWidth="1"/>
    <col min="6" max="6" width="7.5703125" bestFit="1" customWidth="1"/>
    <col min="7" max="7" width="9.28515625" bestFit="1" customWidth="1"/>
    <col min="8" max="12" width="10.42578125" customWidth="1"/>
    <col min="13" max="13" width="4.5703125" customWidth="1"/>
    <col min="14" max="14" width="2.42578125" customWidth="1"/>
    <col min="15" max="15" width="30.7109375" customWidth="1"/>
    <col min="16" max="16" width="10.85546875" customWidth="1"/>
    <col min="17" max="17" width="4.28515625" customWidth="1"/>
    <col min="18" max="19" width="13.85546875" customWidth="1"/>
    <col min="20" max="20" width="17.140625" customWidth="1"/>
    <col min="21" max="21" width="10.140625" customWidth="1"/>
    <col min="22" max="22" width="5.85546875" customWidth="1"/>
    <col min="23" max="23" width="4.140625" customWidth="1"/>
    <col min="24" max="26" width="12.7109375" customWidth="1"/>
    <col min="27" max="29" width="12.7109375" style="132" customWidth="1"/>
    <col min="30" max="118" width="5.85546875" style="132"/>
  </cols>
  <sheetData>
    <row r="1" spans="1:26" x14ac:dyDescent="0.2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 spans="1:26" ht="20.25" x14ac:dyDescent="0.3">
      <c r="A2" s="133"/>
      <c r="B2" s="134"/>
      <c r="C2" s="134"/>
      <c r="D2" s="134"/>
      <c r="E2" s="135"/>
      <c r="F2" s="135"/>
      <c r="G2" s="135"/>
      <c r="H2" s="135"/>
      <c r="I2" s="136"/>
      <c r="J2" s="136"/>
      <c r="K2" s="136"/>
      <c r="L2" s="136"/>
      <c r="M2" s="136"/>
      <c r="N2" s="137"/>
      <c r="O2" s="137"/>
      <c r="P2" s="137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spans="1:26" ht="18.75" customHeight="1" thickBot="1" x14ac:dyDescent="0.3">
      <c r="A3" s="295" t="s">
        <v>153</v>
      </c>
      <c r="B3" s="134"/>
      <c r="C3" s="134"/>
      <c r="D3" s="134"/>
      <c r="E3" s="395" t="s">
        <v>131</v>
      </c>
      <c r="F3" s="395"/>
      <c r="G3" s="395"/>
      <c r="H3" s="395" t="s">
        <v>132</v>
      </c>
      <c r="I3" s="395"/>
      <c r="J3" s="395"/>
      <c r="K3" s="395"/>
      <c r="L3" s="395"/>
      <c r="M3" s="136"/>
      <c r="N3" s="137"/>
      <c r="O3" s="146"/>
      <c r="P3" s="146"/>
      <c r="Q3" s="147"/>
      <c r="R3" s="132"/>
      <c r="S3" s="132"/>
      <c r="T3" s="132"/>
      <c r="U3" s="132"/>
      <c r="V3" s="132"/>
      <c r="W3" s="132"/>
      <c r="X3" s="132"/>
      <c r="Y3" s="132"/>
      <c r="Z3" s="132"/>
    </row>
    <row r="4" spans="1:26" ht="16.5" thickBot="1" x14ac:dyDescent="0.3">
      <c r="A4" s="126" t="s">
        <v>41</v>
      </c>
      <c r="B4" s="127"/>
      <c r="C4" s="127"/>
      <c r="D4" s="127"/>
      <c r="E4" s="293">
        <v>2012</v>
      </c>
      <c r="F4" s="293">
        <f>E4+1</f>
        <v>2013</v>
      </c>
      <c r="G4" s="293">
        <f t="shared" ref="G4:L4" si="0">F4+1</f>
        <v>2014</v>
      </c>
      <c r="H4" s="293">
        <f t="shared" si="0"/>
        <v>2015</v>
      </c>
      <c r="I4" s="293">
        <f t="shared" si="0"/>
        <v>2016</v>
      </c>
      <c r="J4" s="293">
        <f t="shared" si="0"/>
        <v>2017</v>
      </c>
      <c r="K4" s="293">
        <f t="shared" si="0"/>
        <v>2018</v>
      </c>
      <c r="L4" s="293">
        <f t="shared" si="0"/>
        <v>2019</v>
      </c>
      <c r="M4" s="146"/>
      <c r="N4" s="137"/>
      <c r="O4" s="367" t="s">
        <v>85</v>
      </c>
      <c r="P4" s="368"/>
      <c r="Q4" s="132"/>
      <c r="R4" s="364" t="s">
        <v>81</v>
      </c>
      <c r="S4" s="365"/>
      <c r="T4" s="365"/>
      <c r="U4" s="365"/>
      <c r="V4" s="366"/>
      <c r="W4" s="132"/>
      <c r="X4" s="132"/>
      <c r="Y4" s="132"/>
      <c r="Z4" s="132"/>
    </row>
    <row r="5" spans="1:26" x14ac:dyDescent="0.2">
      <c r="A5" s="137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77"/>
      <c r="P5" s="178"/>
      <c r="Q5" s="132"/>
      <c r="R5" s="204"/>
      <c r="S5" s="147"/>
      <c r="T5" s="147"/>
      <c r="U5" s="154"/>
      <c r="V5" s="155"/>
      <c r="W5" s="132"/>
      <c r="X5" s="132"/>
      <c r="Y5" s="132"/>
      <c r="Z5" s="132"/>
    </row>
    <row r="6" spans="1:26" x14ac:dyDescent="0.2">
      <c r="A6" s="137" t="s">
        <v>32</v>
      </c>
      <c r="B6" s="137"/>
      <c r="C6" s="137"/>
      <c r="D6" s="137"/>
      <c r="E6" s="299">
        <v>526</v>
      </c>
      <c r="F6" s="299">
        <v>985.7</v>
      </c>
      <c r="G6" s="299">
        <v>1394.2</v>
      </c>
      <c r="H6" s="299">
        <f>G6*(1+$R$10)</f>
        <v>1742.75</v>
      </c>
      <c r="I6" s="299">
        <f>H6*(1+$R$10)</f>
        <v>2178.4375</v>
      </c>
      <c r="J6" s="299">
        <f>I6*(1+$R$10)</f>
        <v>2723.046875</v>
      </c>
      <c r="K6" s="299">
        <f>J6*(1+$R$10)</f>
        <v>3403.80859375</v>
      </c>
      <c r="L6" s="299">
        <f>K6*(1+$R$10)</f>
        <v>4254.7607421875</v>
      </c>
      <c r="M6" s="138"/>
      <c r="N6" s="137"/>
      <c r="O6" s="179" t="s">
        <v>36</v>
      </c>
      <c r="P6" s="180">
        <f>(L34*(1+R18))/(H36-R18)</f>
        <v>2976.6681394400671</v>
      </c>
      <c r="Q6" s="132"/>
      <c r="R6" s="153">
        <f>(R7-R8)/365</f>
        <v>0.90410958904109584</v>
      </c>
      <c r="S6" s="134" t="s">
        <v>79</v>
      </c>
      <c r="T6" s="142"/>
      <c r="U6" s="154"/>
      <c r="V6" s="155"/>
      <c r="W6" s="132"/>
      <c r="X6" s="132"/>
      <c r="Y6" s="132"/>
      <c r="Z6" s="132"/>
    </row>
    <row r="7" spans="1:26" x14ac:dyDescent="0.2">
      <c r="A7" s="137" t="s">
        <v>1</v>
      </c>
      <c r="B7" s="137"/>
      <c r="C7" s="137"/>
      <c r="D7" s="137"/>
      <c r="E7" s="296">
        <v>53.6</v>
      </c>
      <c r="F7" s="296">
        <v>98.7</v>
      </c>
      <c r="G7" s="296">
        <v>187</v>
      </c>
      <c r="H7" s="296">
        <f>H6*$R$11</f>
        <v>200.41625000000002</v>
      </c>
      <c r="I7" s="296">
        <f>I6*$R$11</f>
        <v>250.52031250000002</v>
      </c>
      <c r="J7" s="296">
        <f>J6*$R$11</f>
        <v>313.150390625</v>
      </c>
      <c r="K7" s="296">
        <f>K6*$R$11</f>
        <v>391.43798828125</v>
      </c>
      <c r="L7" s="296">
        <f>L6*$R$11</f>
        <v>489.2974853515625</v>
      </c>
      <c r="M7" s="249"/>
      <c r="N7" s="137"/>
      <c r="O7" s="182" t="s">
        <v>75</v>
      </c>
      <c r="P7" s="183">
        <f>L35</f>
        <v>4.904109589041096</v>
      </c>
      <c r="Q7" s="132"/>
      <c r="R7" s="348">
        <v>42369</v>
      </c>
      <c r="S7" s="142" t="s">
        <v>83</v>
      </c>
      <c r="T7" s="148"/>
      <c r="U7" s="154"/>
      <c r="V7" s="155"/>
      <c r="W7" s="132"/>
      <c r="X7" s="132"/>
      <c r="Y7" s="132"/>
      <c r="Z7" s="132"/>
    </row>
    <row r="8" spans="1:26" x14ac:dyDescent="0.2">
      <c r="A8" s="139" t="s">
        <v>64</v>
      </c>
      <c r="B8" s="137"/>
      <c r="C8" s="137"/>
      <c r="D8" s="137"/>
      <c r="E8" s="297">
        <v>3.9740000000000002</v>
      </c>
      <c r="F8" s="297">
        <v>12.034000000000001</v>
      </c>
      <c r="G8" s="297">
        <v>17.945</v>
      </c>
      <c r="H8" s="297">
        <f>H6*$R$14</f>
        <v>17.427500000000002</v>
      </c>
      <c r="I8" s="297">
        <f>I6*$R$14</f>
        <v>21.784375000000001</v>
      </c>
      <c r="J8" s="297">
        <f>J6*$R$14</f>
        <v>27.23046875</v>
      </c>
      <c r="K8" s="297">
        <f>K6*$R$14</f>
        <v>34.0380859375</v>
      </c>
      <c r="L8" s="297">
        <f>L6*$R$14</f>
        <v>42.547607421875</v>
      </c>
      <c r="M8" s="289"/>
      <c r="N8" s="137"/>
      <c r="O8" s="371" t="s">
        <v>67</v>
      </c>
      <c r="P8" s="381">
        <f>H36</f>
        <v>0.1003</v>
      </c>
      <c r="Q8" s="132"/>
      <c r="R8" s="349">
        <v>42039</v>
      </c>
      <c r="S8" s="159" t="s">
        <v>82</v>
      </c>
      <c r="T8" s="142"/>
      <c r="U8" s="154"/>
      <c r="V8" s="155"/>
      <c r="W8" s="132"/>
      <c r="X8" s="132"/>
      <c r="Y8" s="132"/>
      <c r="Z8" s="132"/>
    </row>
    <row r="9" spans="1:26" x14ac:dyDescent="0.2">
      <c r="A9" s="137" t="s">
        <v>0</v>
      </c>
      <c r="B9" s="137"/>
      <c r="C9" s="137"/>
      <c r="D9" s="137"/>
      <c r="E9" s="296">
        <f t="shared" ref="E9:L9" si="1">E7+E8</f>
        <v>57.573999999999998</v>
      </c>
      <c r="F9" s="296">
        <f t="shared" si="1"/>
        <v>110.73400000000001</v>
      </c>
      <c r="G9" s="296">
        <f t="shared" si="1"/>
        <v>204.94499999999999</v>
      </c>
      <c r="H9" s="296">
        <f t="shared" si="1"/>
        <v>217.84375000000003</v>
      </c>
      <c r="I9" s="296">
        <f t="shared" si="1"/>
        <v>272.3046875</v>
      </c>
      <c r="J9" s="296">
        <f t="shared" si="1"/>
        <v>340.380859375</v>
      </c>
      <c r="K9" s="296">
        <f t="shared" si="1"/>
        <v>425.47607421875</v>
      </c>
      <c r="L9" s="296">
        <f t="shared" si="1"/>
        <v>531.8450927734375</v>
      </c>
      <c r="M9" s="140"/>
      <c r="N9" s="137"/>
      <c r="O9" s="338" t="s">
        <v>35</v>
      </c>
      <c r="P9" s="339">
        <f>P6/(1+P8)^P7</f>
        <v>1862.7534307178787</v>
      </c>
      <c r="Q9" s="132"/>
      <c r="R9" s="132"/>
      <c r="S9" s="132"/>
      <c r="T9" s="132"/>
      <c r="U9" s="160"/>
      <c r="V9" s="155"/>
      <c r="W9" s="132"/>
      <c r="X9" s="132"/>
      <c r="Y9" s="132"/>
      <c r="Z9" s="132"/>
    </row>
    <row r="10" spans="1:26" x14ac:dyDescent="0.2">
      <c r="A10" s="137" t="s">
        <v>53</v>
      </c>
      <c r="B10" s="137"/>
      <c r="C10" s="137"/>
      <c r="D10" s="137"/>
      <c r="E10" s="296">
        <v>-17.795000000000002</v>
      </c>
      <c r="F10" s="296">
        <v>-18.234999999999999</v>
      </c>
      <c r="G10" s="296">
        <v>-27.49</v>
      </c>
      <c r="H10" s="296">
        <f>-H6*$R$15</f>
        <v>-43.568750000000001</v>
      </c>
      <c r="I10" s="296">
        <f>-I6*$R$15</f>
        <v>-54.4609375</v>
      </c>
      <c r="J10" s="296">
        <f>-J6*$R$15</f>
        <v>-68.076171875</v>
      </c>
      <c r="K10" s="296">
        <f>-K6*$R$15</f>
        <v>-85.09521484375</v>
      </c>
      <c r="L10" s="296">
        <f>-L6*$R$15</f>
        <v>-106.3690185546875</v>
      </c>
      <c r="M10" s="249"/>
      <c r="N10" s="137"/>
      <c r="O10" s="169"/>
      <c r="P10" s="169"/>
      <c r="Q10" s="132"/>
      <c r="R10" s="350">
        <v>0.25</v>
      </c>
      <c r="S10" s="167" t="s">
        <v>34</v>
      </c>
      <c r="T10" s="148"/>
      <c r="U10" s="148"/>
      <c r="V10" s="155"/>
      <c r="W10" s="132"/>
      <c r="X10" s="132"/>
      <c r="Y10" s="132"/>
      <c r="Z10" s="132"/>
    </row>
    <row r="11" spans="1:26" x14ac:dyDescent="0.2">
      <c r="A11" s="144" t="s">
        <v>130</v>
      </c>
      <c r="B11" s="137"/>
      <c r="C11" s="137"/>
      <c r="D11" s="137"/>
      <c r="E11" s="298">
        <f>-58-43.7-8.5+67.8+4.5</f>
        <v>-37.900000000000006</v>
      </c>
      <c r="F11" s="298">
        <f>-43.1-55.7-15.4+135.2</f>
        <v>20.999999999999972</v>
      </c>
      <c r="G11" s="298">
        <f>-62.3-45.1-30.3+98.4</f>
        <v>-39.300000000000011</v>
      </c>
      <c r="H11" s="298">
        <f>(G6-H6)*$R$16</f>
        <v>-20.912999999999997</v>
      </c>
      <c r="I11" s="298">
        <f>(H6-I6)*$R$16</f>
        <v>-26.141249999999999</v>
      </c>
      <c r="J11" s="298">
        <f>(I6-J6)*$R$16</f>
        <v>-32.676562499999996</v>
      </c>
      <c r="K11" s="298">
        <f>(J6-K6)*$R$16</f>
        <v>-40.845703125</v>
      </c>
      <c r="L11" s="298">
        <f>(K6-L6)*$R$16</f>
        <v>-51.05712890625</v>
      </c>
      <c r="M11" s="249"/>
      <c r="N11" s="137"/>
      <c r="O11" s="128" t="s">
        <v>86</v>
      </c>
      <c r="P11" s="129"/>
      <c r="Q11" s="132"/>
      <c r="R11" s="350">
        <v>0.115</v>
      </c>
      <c r="S11" s="167" t="s">
        <v>3</v>
      </c>
      <c r="T11" s="148"/>
      <c r="U11" s="148"/>
      <c r="V11" s="155"/>
      <c r="W11" s="132"/>
      <c r="X11" s="132"/>
      <c r="Y11" s="132"/>
      <c r="Z11" s="132"/>
    </row>
    <row r="12" spans="1:26" x14ac:dyDescent="0.2">
      <c r="A12" s="141"/>
      <c r="B12" s="142"/>
      <c r="C12" s="142"/>
      <c r="D12" s="142"/>
      <c r="E12" s="143"/>
      <c r="F12" s="144"/>
      <c r="G12" s="144"/>
      <c r="H12" s="144"/>
      <c r="I12" s="144"/>
      <c r="J12" s="144"/>
      <c r="K12" s="144"/>
      <c r="L12" s="144"/>
      <c r="M12" s="144"/>
      <c r="N12" s="145"/>
      <c r="O12" s="175"/>
      <c r="P12" s="190"/>
      <c r="Q12" s="132"/>
      <c r="R12" s="350">
        <v>0.35</v>
      </c>
      <c r="S12" s="167" t="s">
        <v>55</v>
      </c>
      <c r="T12" s="148"/>
      <c r="U12" s="142"/>
      <c r="V12" s="155"/>
      <c r="W12" s="132"/>
      <c r="X12" s="132"/>
      <c r="Y12" s="132"/>
      <c r="Z12" s="132"/>
    </row>
    <row r="13" spans="1:26" x14ac:dyDescent="0.2">
      <c r="A13" s="300" t="s">
        <v>133</v>
      </c>
      <c r="B13" s="301"/>
      <c r="C13" s="301"/>
      <c r="D13" s="301"/>
      <c r="E13" s="302"/>
      <c r="F13" s="303"/>
      <c r="G13" s="303"/>
      <c r="H13" s="303"/>
      <c r="I13" s="303"/>
      <c r="J13" s="303"/>
      <c r="K13" s="303"/>
      <c r="L13" s="303"/>
      <c r="M13" s="144"/>
      <c r="N13" s="145"/>
      <c r="O13" s="340" t="s">
        <v>149</v>
      </c>
      <c r="P13" s="341">
        <f>SUM(H37:L37)</f>
        <v>493.27728777856373</v>
      </c>
      <c r="Q13" s="132"/>
      <c r="R13" s="176"/>
      <c r="S13" s="167"/>
      <c r="T13" s="148"/>
      <c r="U13" s="142"/>
      <c r="V13" s="155"/>
      <c r="W13" s="132"/>
      <c r="X13" s="132"/>
      <c r="Y13" s="132"/>
      <c r="Z13" s="132"/>
    </row>
    <row r="14" spans="1:26" x14ac:dyDescent="0.2">
      <c r="A14" s="304" t="s">
        <v>34</v>
      </c>
      <c r="B14" s="301"/>
      <c r="C14" s="301"/>
      <c r="D14" s="301"/>
      <c r="E14" s="305">
        <f>E6/234-1</f>
        <v>1.2478632478632479</v>
      </c>
      <c r="F14" s="306">
        <f t="shared" ref="F14:L14" si="2">F6/E6-1</f>
        <v>0.87395437262357434</v>
      </c>
      <c r="G14" s="306">
        <f t="shared" si="2"/>
        <v>0.41442629603327585</v>
      </c>
      <c r="H14" s="306">
        <f t="shared" si="2"/>
        <v>0.25</v>
      </c>
      <c r="I14" s="306">
        <f>I6/H6-1</f>
        <v>0.25</v>
      </c>
      <c r="J14" s="306">
        <f t="shared" si="2"/>
        <v>0.25</v>
      </c>
      <c r="K14" s="306">
        <f t="shared" si="2"/>
        <v>0.25</v>
      </c>
      <c r="L14" s="306">
        <f t="shared" si="2"/>
        <v>0.25</v>
      </c>
      <c r="M14" s="144"/>
      <c r="N14" s="145"/>
      <c r="O14" s="194"/>
      <c r="P14" s="194"/>
      <c r="Q14" s="132"/>
      <c r="R14" s="351">
        <v>0.01</v>
      </c>
      <c r="S14" s="167" t="s">
        <v>78</v>
      </c>
      <c r="T14" s="148"/>
      <c r="U14" s="142"/>
      <c r="V14" s="155"/>
      <c r="W14" s="132"/>
      <c r="X14" s="132"/>
      <c r="Y14" s="132"/>
      <c r="Z14" s="132"/>
    </row>
    <row r="15" spans="1:26" x14ac:dyDescent="0.2">
      <c r="A15" s="304" t="s">
        <v>3</v>
      </c>
      <c r="B15" s="301"/>
      <c r="C15" s="301"/>
      <c r="D15" s="301"/>
      <c r="E15" s="305">
        <f t="shared" ref="E15:L15" si="3">E7/E6</f>
        <v>0.10190114068441065</v>
      </c>
      <c r="F15" s="305">
        <f t="shared" si="3"/>
        <v>0.10013188596936187</v>
      </c>
      <c r="G15" s="305">
        <f t="shared" si="3"/>
        <v>0.13412709797733466</v>
      </c>
      <c r="H15" s="306">
        <f t="shared" si="3"/>
        <v>0.115</v>
      </c>
      <c r="I15" s="306">
        <f t="shared" si="3"/>
        <v>0.115</v>
      </c>
      <c r="J15" s="306">
        <f t="shared" si="3"/>
        <v>0.115</v>
      </c>
      <c r="K15" s="306">
        <f t="shared" si="3"/>
        <v>0.115</v>
      </c>
      <c r="L15" s="306">
        <f t="shared" si="3"/>
        <v>0.115</v>
      </c>
      <c r="M15" s="144"/>
      <c r="N15" s="145"/>
      <c r="O15" s="128" t="s">
        <v>48</v>
      </c>
      <c r="P15" s="129"/>
      <c r="Q15" s="132"/>
      <c r="R15" s="351">
        <v>2.5000000000000001E-2</v>
      </c>
      <c r="S15" s="167" t="s">
        <v>47</v>
      </c>
      <c r="T15" s="148"/>
      <c r="U15" s="134"/>
      <c r="V15" s="155"/>
      <c r="W15" s="132"/>
      <c r="X15" s="132"/>
      <c r="Y15" s="132"/>
      <c r="Z15" s="132"/>
    </row>
    <row r="16" spans="1:26" x14ac:dyDescent="0.2">
      <c r="A16" s="304" t="s">
        <v>78</v>
      </c>
      <c r="B16" s="301"/>
      <c r="C16" s="301"/>
      <c r="D16" s="301"/>
      <c r="E16" s="305">
        <f t="shared" ref="E16:L16" si="4">E8/E6</f>
        <v>7.555133079847909E-3</v>
      </c>
      <c r="F16" s="305">
        <f t="shared" si="4"/>
        <v>1.2208582733083088E-2</v>
      </c>
      <c r="G16" s="305">
        <f t="shared" si="4"/>
        <v>1.2871180605365084E-2</v>
      </c>
      <c r="H16" s="306">
        <f t="shared" si="4"/>
        <v>1.0000000000000002E-2</v>
      </c>
      <c r="I16" s="306">
        <f t="shared" si="4"/>
        <v>0.01</v>
      </c>
      <c r="J16" s="306">
        <f t="shared" si="4"/>
        <v>0.01</v>
      </c>
      <c r="K16" s="306">
        <f t="shared" si="4"/>
        <v>0.01</v>
      </c>
      <c r="L16" s="306">
        <f t="shared" si="4"/>
        <v>0.01</v>
      </c>
      <c r="M16" s="144"/>
      <c r="N16" s="145"/>
      <c r="O16" s="202"/>
      <c r="P16" s="203"/>
      <c r="Q16" s="132"/>
      <c r="R16" s="351">
        <v>0.06</v>
      </c>
      <c r="S16" s="159" t="s">
        <v>152</v>
      </c>
      <c r="T16" s="148"/>
      <c r="U16" s="148"/>
      <c r="V16" s="155"/>
      <c r="W16" s="132"/>
      <c r="X16" s="132"/>
      <c r="Y16" s="132"/>
      <c r="Z16" s="132"/>
    </row>
    <row r="17" spans="1:26" x14ac:dyDescent="0.2">
      <c r="A17" s="304" t="s">
        <v>134</v>
      </c>
      <c r="B17" s="301"/>
      <c r="C17" s="301"/>
      <c r="D17" s="301"/>
      <c r="E17" s="305">
        <f t="shared" ref="E17:L17" si="5">-E10/E6</f>
        <v>3.3830798479087452E-2</v>
      </c>
      <c r="F17" s="305">
        <f t="shared" si="5"/>
        <v>1.8499543471644515E-2</v>
      </c>
      <c r="G17" s="305">
        <f t="shared" si="5"/>
        <v>1.9717400659876629E-2</v>
      </c>
      <c r="H17" s="306">
        <f t="shared" si="5"/>
        <v>2.5000000000000001E-2</v>
      </c>
      <c r="I17" s="306">
        <f t="shared" si="5"/>
        <v>2.5000000000000001E-2</v>
      </c>
      <c r="J17" s="306">
        <f t="shared" si="5"/>
        <v>2.5000000000000001E-2</v>
      </c>
      <c r="K17" s="306">
        <f t="shared" si="5"/>
        <v>2.5000000000000001E-2</v>
      </c>
      <c r="L17" s="306">
        <f t="shared" si="5"/>
        <v>2.5000000000000001E-2</v>
      </c>
      <c r="M17" s="144"/>
      <c r="N17" s="145"/>
      <c r="O17" s="205" t="s">
        <v>49</v>
      </c>
      <c r="P17" s="206">
        <f>P13/P23</f>
        <v>0.20936793561561054</v>
      </c>
      <c r="Q17" s="132"/>
      <c r="R17" s="185"/>
      <c r="S17" s="148"/>
      <c r="T17" s="148"/>
      <c r="U17" s="142"/>
      <c r="V17" s="155"/>
      <c r="W17" s="132"/>
      <c r="X17" s="132"/>
      <c r="Y17" s="132"/>
      <c r="Z17" s="132"/>
    </row>
    <row r="18" spans="1:26" x14ac:dyDescent="0.2">
      <c r="A18" s="304" t="s">
        <v>135</v>
      </c>
      <c r="B18" s="301"/>
      <c r="C18" s="301"/>
      <c r="D18" s="301"/>
      <c r="E18" s="305">
        <f>-E11/(E6-234)</f>
        <v>0.12979452054794521</v>
      </c>
      <c r="F18" s="306">
        <f t="shared" ref="F18:L18" si="6">-F11/(F6-E6)</f>
        <v>-4.5681966499891168E-2</v>
      </c>
      <c r="G18" s="306">
        <f t="shared" si="6"/>
        <v>9.6205630354957189E-2</v>
      </c>
      <c r="H18" s="306">
        <f t="shared" si="6"/>
        <v>0.06</v>
      </c>
      <c r="I18" s="306">
        <f t="shared" si="6"/>
        <v>0.06</v>
      </c>
      <c r="J18" s="306">
        <f t="shared" si="6"/>
        <v>5.9999999999999991E-2</v>
      </c>
      <c r="K18" s="306">
        <f t="shared" si="6"/>
        <v>0.06</v>
      </c>
      <c r="L18" s="306">
        <f t="shared" si="6"/>
        <v>0.06</v>
      </c>
      <c r="M18" s="144"/>
      <c r="N18" s="145"/>
      <c r="O18" s="158" t="s">
        <v>50</v>
      </c>
      <c r="P18" s="208">
        <f>1-P17</f>
        <v>0.79063206438438949</v>
      </c>
      <c r="Q18" s="132"/>
      <c r="R18" s="351">
        <v>0.03</v>
      </c>
      <c r="S18" s="147" t="s">
        <v>144</v>
      </c>
      <c r="T18" s="187"/>
      <c r="U18" s="142"/>
      <c r="V18" s="155"/>
      <c r="W18" s="132"/>
      <c r="X18" s="132"/>
      <c r="Y18" s="132"/>
      <c r="Z18" s="132"/>
    </row>
    <row r="19" spans="1:26" x14ac:dyDescent="0.2">
      <c r="A19" s="141"/>
      <c r="B19" s="142"/>
      <c r="C19" s="142"/>
      <c r="D19" s="142"/>
      <c r="E19" s="143"/>
      <c r="F19" s="144"/>
      <c r="G19" s="144"/>
      <c r="H19" s="144"/>
      <c r="I19" s="144"/>
      <c r="J19" s="144"/>
      <c r="K19" s="144"/>
      <c r="L19" s="144"/>
      <c r="M19" s="144"/>
      <c r="N19" s="145"/>
      <c r="O19" s="207" t="s">
        <v>31</v>
      </c>
      <c r="P19" s="208">
        <f>SUM(P17:P18)</f>
        <v>1</v>
      </c>
      <c r="Q19" s="132"/>
      <c r="R19" s="191"/>
      <c r="S19" s="187"/>
      <c r="T19" s="187"/>
      <c r="U19" s="134"/>
      <c r="V19" s="155"/>
      <c r="W19" s="132"/>
      <c r="X19" s="132"/>
      <c r="Y19" s="132"/>
      <c r="Z19" s="132"/>
    </row>
    <row r="20" spans="1:26" x14ac:dyDescent="0.2">
      <c r="A20" s="141"/>
      <c r="B20" s="142"/>
      <c r="C20" s="142"/>
      <c r="D20" s="142"/>
      <c r="E20" s="143"/>
      <c r="F20" s="144"/>
      <c r="G20" s="144"/>
      <c r="H20" s="144"/>
      <c r="I20" s="144"/>
      <c r="J20" s="144"/>
      <c r="K20" s="144"/>
      <c r="L20" s="144"/>
      <c r="M20" s="144"/>
      <c r="N20" s="145"/>
      <c r="O20" s="144"/>
      <c r="P20" s="144"/>
      <c r="Q20" s="132"/>
      <c r="R20" s="177"/>
      <c r="S20" s="148"/>
      <c r="T20" s="193"/>
      <c r="U20" s="134"/>
      <c r="V20" s="155"/>
      <c r="W20" s="132"/>
      <c r="X20" s="132"/>
      <c r="Y20" s="132"/>
      <c r="Z20" s="132"/>
    </row>
    <row r="21" spans="1:26" ht="13.15" customHeight="1" x14ac:dyDescent="0.25">
      <c r="A21" s="373" t="s">
        <v>84</v>
      </c>
      <c r="B21" s="374"/>
      <c r="C21" s="374"/>
      <c r="D21" s="374"/>
      <c r="E21" s="374"/>
      <c r="F21" s="146"/>
      <c r="G21" s="146"/>
      <c r="H21" s="146"/>
      <c r="I21" s="146"/>
      <c r="J21" s="146"/>
      <c r="K21" s="146"/>
      <c r="L21" s="146"/>
      <c r="M21" s="146"/>
      <c r="N21" s="146"/>
      <c r="O21" s="166"/>
      <c r="P21" s="166"/>
      <c r="Q21" s="132"/>
      <c r="R21" s="369">
        <v>2.5000000000000001E-3</v>
      </c>
      <c r="S21" s="159" t="s">
        <v>143</v>
      </c>
      <c r="T21" s="193"/>
      <c r="U21" s="134"/>
      <c r="V21" s="155"/>
      <c r="W21" s="132"/>
      <c r="X21" s="132"/>
      <c r="Y21" s="132"/>
      <c r="Z21" s="132"/>
    </row>
    <row r="22" spans="1:26" x14ac:dyDescent="0.2">
      <c r="A22" s="247" t="str">
        <f>A4</f>
        <v>Fiscal Year Ending ($MMs)</v>
      </c>
      <c r="B22" s="248"/>
      <c r="C22" s="248"/>
      <c r="D22" s="248"/>
      <c r="E22" s="294">
        <f>E4</f>
        <v>2012</v>
      </c>
      <c r="F22" s="294">
        <f>F4</f>
        <v>2013</v>
      </c>
      <c r="G22" s="294">
        <f t="shared" ref="G22:L22" si="7">G4</f>
        <v>2014</v>
      </c>
      <c r="H22" s="294">
        <f t="shared" si="7"/>
        <v>2015</v>
      </c>
      <c r="I22" s="294">
        <f t="shared" si="7"/>
        <v>2016</v>
      </c>
      <c r="J22" s="294">
        <f t="shared" si="7"/>
        <v>2017</v>
      </c>
      <c r="K22" s="294">
        <f t="shared" si="7"/>
        <v>2018</v>
      </c>
      <c r="L22" s="294">
        <f t="shared" si="7"/>
        <v>2019</v>
      </c>
      <c r="M22" s="146"/>
      <c r="N22" s="148"/>
      <c r="O22" s="128" t="s">
        <v>107</v>
      </c>
      <c r="P22" s="129"/>
      <c r="Q22" s="132"/>
      <c r="R22" s="369">
        <v>5.0000000000000001E-3</v>
      </c>
      <c r="S22" s="195" t="s">
        <v>72</v>
      </c>
      <c r="T22" s="193"/>
      <c r="U22" s="134"/>
      <c r="V22" s="155"/>
      <c r="W22" s="132"/>
      <c r="X22" s="132"/>
      <c r="Y22" s="132"/>
      <c r="Z22" s="132"/>
    </row>
    <row r="23" spans="1:26" x14ac:dyDescent="0.2">
      <c r="A23" s="156"/>
      <c r="B23" s="148"/>
      <c r="C23" s="148"/>
      <c r="D23" s="148"/>
      <c r="E23" s="157"/>
      <c r="F23" s="157"/>
      <c r="G23" s="157"/>
      <c r="H23" s="157"/>
      <c r="I23" s="157"/>
      <c r="J23" s="157"/>
      <c r="K23" s="157"/>
      <c r="L23" s="157"/>
      <c r="M23" s="157"/>
      <c r="N23" s="152"/>
      <c r="O23" s="342" t="s">
        <v>106</v>
      </c>
      <c r="P23" s="343">
        <f>P9+P13</f>
        <v>2356.0307184964422</v>
      </c>
      <c r="Q23" s="132"/>
      <c r="R23" s="204"/>
      <c r="S23" s="148"/>
      <c r="T23" s="193"/>
      <c r="U23" s="134"/>
      <c r="V23" s="155"/>
      <c r="W23" s="132"/>
      <c r="X23" s="132"/>
      <c r="Y23" s="132"/>
      <c r="Z23" s="132"/>
    </row>
    <row r="24" spans="1:26" x14ac:dyDescent="0.2">
      <c r="A24" s="156" t="s">
        <v>32</v>
      </c>
      <c r="B24" s="148"/>
      <c r="C24" s="148"/>
      <c r="D24" s="148"/>
      <c r="E24" s="138">
        <f t="shared" ref="E24:G25" si="8">E6</f>
        <v>526</v>
      </c>
      <c r="F24" s="138">
        <f t="shared" si="8"/>
        <v>985.7</v>
      </c>
      <c r="G24" s="138">
        <f t="shared" si="8"/>
        <v>1394.2</v>
      </c>
      <c r="H24" s="138">
        <f>H6*R6</f>
        <v>1575.6369863013697</v>
      </c>
      <c r="I24" s="138">
        <f t="shared" ref="I24:L25" si="9">I6</f>
        <v>2178.4375</v>
      </c>
      <c r="J24" s="138">
        <f t="shared" si="9"/>
        <v>2723.046875</v>
      </c>
      <c r="K24" s="138">
        <f t="shared" si="9"/>
        <v>3403.80859375</v>
      </c>
      <c r="L24" s="138">
        <f t="shared" si="9"/>
        <v>4254.7607421875</v>
      </c>
      <c r="M24" s="138"/>
      <c r="N24" s="152"/>
      <c r="O24" s="214" t="s">
        <v>102</v>
      </c>
      <c r="P24" s="358">
        <v>0</v>
      </c>
      <c r="Q24" s="132"/>
      <c r="R24" s="370">
        <f>52.091317+77.023371</f>
        <v>129.114688</v>
      </c>
      <c r="S24" s="209" t="s">
        <v>96</v>
      </c>
      <c r="T24" s="193"/>
      <c r="U24" s="134"/>
      <c r="V24" s="155"/>
      <c r="W24" s="132"/>
      <c r="X24" s="132"/>
      <c r="Y24" s="132"/>
      <c r="Z24" s="132"/>
    </row>
    <row r="25" spans="1:26" ht="13.5" customHeight="1" x14ac:dyDescent="0.2">
      <c r="A25" s="162" t="s">
        <v>1</v>
      </c>
      <c r="B25" s="163"/>
      <c r="C25" s="163"/>
      <c r="D25" s="164"/>
      <c r="E25" s="250">
        <f t="shared" si="8"/>
        <v>53.6</v>
      </c>
      <c r="F25" s="250">
        <f t="shared" si="8"/>
        <v>98.7</v>
      </c>
      <c r="G25" s="250">
        <f t="shared" si="8"/>
        <v>187</v>
      </c>
      <c r="H25" s="250">
        <f>H7*R6</f>
        <v>181.19825342465754</v>
      </c>
      <c r="I25" s="250">
        <f t="shared" si="9"/>
        <v>250.52031250000002</v>
      </c>
      <c r="J25" s="250">
        <f t="shared" si="9"/>
        <v>313.150390625</v>
      </c>
      <c r="K25" s="250">
        <f t="shared" si="9"/>
        <v>391.43798828125</v>
      </c>
      <c r="L25" s="250">
        <f t="shared" si="9"/>
        <v>489.2974853515625</v>
      </c>
      <c r="M25" s="157"/>
      <c r="N25" s="152"/>
      <c r="O25" s="214" t="s">
        <v>103</v>
      </c>
      <c r="P25" s="359"/>
      <c r="Q25" s="132"/>
      <c r="R25" s="352">
        <f>R24+U34+U42</f>
        <v>152.56045279660691</v>
      </c>
      <c r="S25" s="209" t="s">
        <v>150</v>
      </c>
      <c r="T25" s="148"/>
      <c r="U25" s="154"/>
      <c r="V25" s="155"/>
      <c r="W25" s="132"/>
      <c r="X25" s="132"/>
      <c r="Y25" s="132"/>
      <c r="Z25" s="132"/>
    </row>
    <row r="26" spans="1:26" x14ac:dyDescent="0.2">
      <c r="A26" s="168" t="s">
        <v>37</v>
      </c>
      <c r="B26" s="169"/>
      <c r="C26" s="169"/>
      <c r="D26" s="170"/>
      <c r="E26" s="171">
        <v>-20.9</v>
      </c>
      <c r="F26" s="171">
        <v>-30.8</v>
      </c>
      <c r="G26" s="171">
        <v>-52.9</v>
      </c>
      <c r="H26" s="171">
        <f>H25*-R12</f>
        <v>-63.419388698630137</v>
      </c>
      <c r="I26" s="171">
        <f>I25*-$R$12</f>
        <v>-87.682109374999996</v>
      </c>
      <c r="J26" s="171">
        <f>J25*-$R$12</f>
        <v>-109.60263671874999</v>
      </c>
      <c r="K26" s="171">
        <f>K25*-$R$12</f>
        <v>-137.0032958984375</v>
      </c>
      <c r="L26" s="171">
        <f>L25*-$R$12</f>
        <v>-171.25411987304688</v>
      </c>
      <c r="M26" s="250"/>
      <c r="N26" s="152"/>
      <c r="O26" s="205" t="s">
        <v>104</v>
      </c>
      <c r="P26" s="359"/>
      <c r="Q26" s="132"/>
      <c r="R26" s="204"/>
      <c r="S26" s="209"/>
      <c r="T26" s="142"/>
      <c r="U26" s="147"/>
      <c r="V26" s="155"/>
      <c r="W26" s="161"/>
      <c r="X26" s="132"/>
      <c r="Y26" s="132"/>
      <c r="Z26" s="132"/>
    </row>
    <row r="27" spans="1:26" x14ac:dyDescent="0.2">
      <c r="A27" s="172" t="s">
        <v>142</v>
      </c>
      <c r="B27" s="173"/>
      <c r="C27" s="173"/>
      <c r="D27" s="174"/>
      <c r="E27" s="291">
        <f t="shared" ref="E27:L27" si="10">E25+E26</f>
        <v>32.700000000000003</v>
      </c>
      <c r="F27" s="291">
        <f t="shared" si="10"/>
        <v>67.900000000000006</v>
      </c>
      <c r="G27" s="291">
        <f t="shared" si="10"/>
        <v>134.1</v>
      </c>
      <c r="H27" s="138">
        <f t="shared" si="10"/>
        <v>117.77886472602739</v>
      </c>
      <c r="I27" s="138">
        <f t="shared" si="10"/>
        <v>162.83820312500001</v>
      </c>
      <c r="J27" s="138">
        <f t="shared" si="10"/>
        <v>203.54775390625002</v>
      </c>
      <c r="K27" s="138">
        <f t="shared" si="10"/>
        <v>254.4346923828125</v>
      </c>
      <c r="L27" s="138">
        <f t="shared" si="10"/>
        <v>318.04336547851563</v>
      </c>
      <c r="M27" s="290"/>
      <c r="N27" s="166"/>
      <c r="O27" s="205" t="s">
        <v>105</v>
      </c>
      <c r="P27" s="359">
        <v>319.92899999999997</v>
      </c>
      <c r="Q27" s="132"/>
      <c r="R27" s="363">
        <v>51.87</v>
      </c>
      <c r="S27" s="210" t="s">
        <v>140</v>
      </c>
      <c r="T27" s="211"/>
      <c r="U27" s="212"/>
      <c r="V27" s="213"/>
      <c r="W27" s="132"/>
      <c r="X27" s="132"/>
      <c r="Y27" s="132"/>
      <c r="Z27" s="132"/>
    </row>
    <row r="28" spans="1:26" ht="13.5" thickBot="1" x14ac:dyDescent="0.25">
      <c r="A28" s="168" t="s">
        <v>38</v>
      </c>
      <c r="B28" s="169"/>
      <c r="C28" s="169"/>
      <c r="D28" s="170"/>
      <c r="E28" s="290">
        <f t="shared" ref="E28:G29" si="11">E10</f>
        <v>-17.795000000000002</v>
      </c>
      <c r="F28" s="290">
        <f t="shared" si="11"/>
        <v>-18.234999999999999</v>
      </c>
      <c r="G28" s="290">
        <f t="shared" si="11"/>
        <v>-27.49</v>
      </c>
      <c r="H28" s="249">
        <f>H10*R6</f>
        <v>-39.390924657534242</v>
      </c>
      <c r="I28" s="249">
        <f t="shared" ref="I28:L29" si="12">I10</f>
        <v>-54.4609375</v>
      </c>
      <c r="J28" s="249">
        <f t="shared" si="12"/>
        <v>-68.076171875</v>
      </c>
      <c r="K28" s="249">
        <f t="shared" si="12"/>
        <v>-85.09521484375</v>
      </c>
      <c r="L28" s="249">
        <f t="shared" si="12"/>
        <v>-106.3690185546875</v>
      </c>
      <c r="M28" s="138"/>
      <c r="N28" s="169"/>
      <c r="O28" s="204"/>
      <c r="P28" s="155"/>
      <c r="Q28" s="132"/>
      <c r="R28" s="362"/>
      <c r="S28" s="209"/>
      <c r="T28" s="148"/>
      <c r="U28" s="147"/>
      <c r="V28" s="147"/>
      <c r="W28" s="132"/>
      <c r="X28" s="132"/>
      <c r="Y28" s="132"/>
      <c r="Z28" s="132"/>
    </row>
    <row r="29" spans="1:26" x14ac:dyDescent="0.2">
      <c r="A29" s="168" t="s">
        <v>39</v>
      </c>
      <c r="B29" s="169"/>
      <c r="C29" s="169"/>
      <c r="D29" s="170"/>
      <c r="E29" s="290">
        <f t="shared" si="11"/>
        <v>-37.900000000000006</v>
      </c>
      <c r="F29" s="290">
        <f t="shared" si="11"/>
        <v>20.999999999999972</v>
      </c>
      <c r="G29" s="290">
        <f t="shared" si="11"/>
        <v>-39.300000000000011</v>
      </c>
      <c r="H29" s="249">
        <f>H11*R6</f>
        <v>-18.907643835616433</v>
      </c>
      <c r="I29" s="249">
        <f t="shared" si="12"/>
        <v>-26.141249999999999</v>
      </c>
      <c r="J29" s="249">
        <f t="shared" si="12"/>
        <v>-32.676562499999996</v>
      </c>
      <c r="K29" s="249">
        <f t="shared" si="12"/>
        <v>-40.845703125</v>
      </c>
      <c r="L29" s="249">
        <f t="shared" si="12"/>
        <v>-51.05712890625</v>
      </c>
      <c r="M29" s="249"/>
      <c r="N29" s="144"/>
      <c r="O29" s="344" t="s">
        <v>101</v>
      </c>
      <c r="P29" s="345">
        <f>P23-P24-P25-P26+P27</f>
        <v>2675.9597184964423</v>
      </c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 spans="1:26" ht="13.5" thickBot="1" x14ac:dyDescent="0.25">
      <c r="A30" s="168" t="s">
        <v>40</v>
      </c>
      <c r="B30" s="169"/>
      <c r="C30" s="169"/>
      <c r="D30" s="170"/>
      <c r="E30" s="171">
        <f>E8</f>
        <v>3.9740000000000002</v>
      </c>
      <c r="F30" s="171">
        <f>F8</f>
        <v>12.034000000000001</v>
      </c>
      <c r="G30" s="171">
        <f>G8</f>
        <v>17.945</v>
      </c>
      <c r="H30" s="171">
        <f>H8*R6</f>
        <v>15.756369863013699</v>
      </c>
      <c r="I30" s="171">
        <f>I8</f>
        <v>21.784375000000001</v>
      </c>
      <c r="J30" s="171">
        <f>J8</f>
        <v>27.23046875</v>
      </c>
      <c r="K30" s="171">
        <f>K8</f>
        <v>34.0380859375</v>
      </c>
      <c r="L30" s="171">
        <f>L8</f>
        <v>42.547607421875</v>
      </c>
      <c r="M30" s="249"/>
      <c r="N30" s="166"/>
      <c r="O30" s="346" t="s">
        <v>100</v>
      </c>
      <c r="P30" s="347">
        <f>P29/R25</f>
        <v>17.540323651661044</v>
      </c>
      <c r="Q30" s="132"/>
      <c r="R30" s="131" t="s">
        <v>97</v>
      </c>
      <c r="S30" s="131"/>
      <c r="T30" s="131"/>
      <c r="U30" s="131"/>
      <c r="V30" s="131"/>
      <c r="W30" s="132"/>
      <c r="X30" s="132"/>
      <c r="Y30" s="132"/>
      <c r="Z30" s="132"/>
    </row>
    <row r="31" spans="1:26" x14ac:dyDescent="0.2">
      <c r="A31" s="181" t="s">
        <v>74</v>
      </c>
      <c r="B31" s="173"/>
      <c r="C31" s="173"/>
      <c r="D31" s="174"/>
      <c r="E31" s="291">
        <f>SUM(E28:E30)</f>
        <v>-51.721000000000004</v>
      </c>
      <c r="F31" s="291">
        <f t="shared" ref="F31:L31" si="13">SUM(F28:F30)</f>
        <v>14.798999999999973</v>
      </c>
      <c r="G31" s="291">
        <f t="shared" si="13"/>
        <v>-48.845000000000006</v>
      </c>
      <c r="H31" s="291">
        <f t="shared" si="13"/>
        <v>-42.54219863013698</v>
      </c>
      <c r="I31" s="291">
        <f t="shared" si="13"/>
        <v>-58.817812500000002</v>
      </c>
      <c r="J31" s="291">
        <f t="shared" si="13"/>
        <v>-73.522265624999989</v>
      </c>
      <c r="K31" s="291">
        <f t="shared" si="13"/>
        <v>-91.90283203125</v>
      </c>
      <c r="L31" s="291">
        <f t="shared" si="13"/>
        <v>-114.8785400390625</v>
      </c>
      <c r="M31" s="290"/>
      <c r="N31" s="166"/>
      <c r="O31" s="132"/>
      <c r="P31" s="132"/>
      <c r="Q31" s="132"/>
      <c r="R31" s="149"/>
      <c r="S31" s="150"/>
      <c r="T31" s="150"/>
      <c r="U31" s="150"/>
      <c r="V31" s="151"/>
      <c r="W31" s="132"/>
      <c r="X31" s="132"/>
      <c r="Y31" s="132"/>
      <c r="Z31" s="132"/>
    </row>
    <row r="32" spans="1:26" x14ac:dyDescent="0.2">
      <c r="A32" s="169"/>
      <c r="B32" s="169"/>
      <c r="C32" s="169"/>
      <c r="D32" s="170"/>
      <c r="E32" s="184"/>
      <c r="F32" s="184"/>
      <c r="G32" s="184"/>
      <c r="H32" s="184"/>
      <c r="I32" s="184"/>
      <c r="J32" s="184"/>
      <c r="K32" s="184"/>
      <c r="L32" s="184"/>
      <c r="M32" s="138"/>
      <c r="N32" s="166"/>
      <c r="O32" s="132"/>
      <c r="P32" s="132"/>
      <c r="Q32" s="132"/>
      <c r="R32" s="204"/>
      <c r="S32" s="142"/>
      <c r="T32" s="142"/>
      <c r="U32" s="217" t="s">
        <v>87</v>
      </c>
      <c r="V32" s="155"/>
      <c r="W32" s="132"/>
      <c r="X32" s="132"/>
      <c r="Y32" s="132"/>
      <c r="Z32" s="132"/>
    </row>
    <row r="33" spans="1:26" x14ac:dyDescent="0.2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84"/>
      <c r="N33" s="144"/>
      <c r="O33" s="132"/>
      <c r="P33" s="132"/>
      <c r="Q33" s="132"/>
      <c r="R33" s="220" t="s">
        <v>88</v>
      </c>
      <c r="S33" s="143" t="s">
        <v>99</v>
      </c>
      <c r="T33" s="143" t="s">
        <v>141</v>
      </c>
      <c r="U33" s="221" t="s">
        <v>89</v>
      </c>
      <c r="V33" s="155"/>
      <c r="W33" s="132"/>
      <c r="X33" s="132"/>
      <c r="Y33" s="132"/>
      <c r="Z33" s="132"/>
    </row>
    <row r="34" spans="1:26" x14ac:dyDescent="0.2">
      <c r="A34" s="333" t="s">
        <v>137</v>
      </c>
      <c r="B34" s="333"/>
      <c r="C34" s="333"/>
      <c r="D34" s="334"/>
      <c r="E34" s="335">
        <f>E27+E31</f>
        <v>-19.021000000000001</v>
      </c>
      <c r="F34" s="335">
        <f>F27+F31</f>
        <v>82.698999999999984</v>
      </c>
      <c r="G34" s="335">
        <f>G27+G31</f>
        <v>85.254999999999995</v>
      </c>
      <c r="H34" s="335">
        <f>H31+H27</f>
        <v>75.236666095890413</v>
      </c>
      <c r="I34" s="335">
        <f>I31+I27</f>
        <v>104.020390625</v>
      </c>
      <c r="J34" s="335">
        <f>J31+J27</f>
        <v>130.02548828125003</v>
      </c>
      <c r="K34" s="335">
        <f>K31+K27</f>
        <v>162.5318603515625</v>
      </c>
      <c r="L34" s="335">
        <f>L31+L27</f>
        <v>203.16482543945313</v>
      </c>
      <c r="M34" s="137"/>
      <c r="N34" s="169"/>
      <c r="O34" s="132"/>
      <c r="P34" s="132"/>
      <c r="Q34" s="132"/>
      <c r="R34" s="205" t="s">
        <v>92</v>
      </c>
      <c r="S34" s="353">
        <v>24.742999999999999</v>
      </c>
      <c r="T34" s="354">
        <v>6.43</v>
      </c>
      <c r="U34" s="331">
        <f>S34-(S34*T34)/R27</f>
        <v>21.675764796606899</v>
      </c>
      <c r="V34" s="155"/>
      <c r="W34" s="132"/>
      <c r="X34" s="132"/>
      <c r="Y34" s="132"/>
      <c r="Z34" s="132"/>
    </row>
    <row r="35" spans="1:26" x14ac:dyDescent="0.2">
      <c r="A35" s="188" t="s">
        <v>145</v>
      </c>
      <c r="B35" s="137"/>
      <c r="C35" s="137"/>
      <c r="D35" s="186"/>
      <c r="E35" s="251"/>
      <c r="F35" s="251"/>
      <c r="G35" s="251"/>
      <c r="H35" s="251">
        <f>R6</f>
        <v>0.90410958904109584</v>
      </c>
      <c r="I35" s="251">
        <f>H35+1</f>
        <v>1.904109589041096</v>
      </c>
      <c r="J35" s="251">
        <f>I35+1</f>
        <v>2.904109589041096</v>
      </c>
      <c r="K35" s="251">
        <f>J35+1</f>
        <v>3.904109589041096</v>
      </c>
      <c r="L35" s="251">
        <f>K35+1</f>
        <v>4.904109589041096</v>
      </c>
      <c r="M35" s="137"/>
      <c r="N35" s="166"/>
      <c r="O35" s="132"/>
      <c r="P35" s="132"/>
      <c r="Q35" s="132"/>
      <c r="R35" s="205" t="s">
        <v>93</v>
      </c>
      <c r="S35" s="355"/>
      <c r="T35" s="356"/>
      <c r="U35" s="223"/>
      <c r="V35" s="155"/>
      <c r="W35" s="132"/>
      <c r="X35" s="132"/>
      <c r="Y35" s="132"/>
      <c r="Z35" s="132"/>
    </row>
    <row r="36" spans="1:26" x14ac:dyDescent="0.2">
      <c r="A36" s="188" t="s">
        <v>67</v>
      </c>
      <c r="B36" s="137"/>
      <c r="C36" s="137"/>
      <c r="D36" s="186"/>
      <c r="E36" s="192"/>
      <c r="F36" s="192"/>
      <c r="G36" s="192"/>
      <c r="H36" s="382">
        <f>10.03%</f>
        <v>0.1003</v>
      </c>
      <c r="I36" s="380">
        <f>H36</f>
        <v>0.1003</v>
      </c>
      <c r="J36" s="380">
        <f>I36</f>
        <v>0.1003</v>
      </c>
      <c r="K36" s="380">
        <f>J36</f>
        <v>0.1003</v>
      </c>
      <c r="L36" s="380">
        <f>K36</f>
        <v>0.1003</v>
      </c>
      <c r="M36" s="291"/>
      <c r="N36" s="137"/>
      <c r="O36" s="132"/>
      <c r="P36" s="132"/>
      <c r="Q36" s="132"/>
      <c r="R36" s="205" t="s">
        <v>94</v>
      </c>
      <c r="S36" s="357"/>
      <c r="T36" s="356"/>
      <c r="U36" s="313"/>
      <c r="V36" s="155"/>
      <c r="W36" s="147"/>
      <c r="X36" s="132"/>
      <c r="Y36" s="132"/>
      <c r="Z36" s="132"/>
    </row>
    <row r="37" spans="1:26" x14ac:dyDescent="0.2">
      <c r="A37" s="333" t="s">
        <v>138</v>
      </c>
      <c r="B37" s="336"/>
      <c r="C37" s="336"/>
      <c r="D37" s="334"/>
      <c r="E37" s="337"/>
      <c r="F37" s="337"/>
      <c r="G37" s="337"/>
      <c r="H37" s="337">
        <f>H34/(1+H36)^H35</f>
        <v>69.007921611419178</v>
      </c>
      <c r="I37" s="337">
        <f>I34/(1+I36)^I35</f>
        <v>86.711514587509186</v>
      </c>
      <c r="J37" s="337">
        <f>J34/(1+J36)^J35</f>
        <v>98.50894595509088</v>
      </c>
      <c r="K37" s="337">
        <f>K34/(1+K36)^K35</f>
        <v>111.91146273185819</v>
      </c>
      <c r="L37" s="337">
        <f>L34/(1+L36)^L35</f>
        <v>127.13744289268629</v>
      </c>
      <c r="M37" s="251"/>
      <c r="N37" s="137"/>
      <c r="O37" s="132"/>
      <c r="P37" s="132"/>
      <c r="Q37" s="132"/>
      <c r="R37" s="205" t="s">
        <v>95</v>
      </c>
      <c r="S37" s="227">
        <f>SUM(S34:S36)</f>
        <v>24.742999999999999</v>
      </c>
      <c r="T37" s="142"/>
      <c r="U37" s="223">
        <f>SUM(U34:U36)</f>
        <v>21.675764796606899</v>
      </c>
      <c r="V37" s="155"/>
      <c r="W37" s="147"/>
      <c r="X37" s="132"/>
      <c r="Y37" s="132"/>
      <c r="Z37" s="132"/>
    </row>
    <row r="38" spans="1:26" x14ac:dyDescent="0.2">
      <c r="A38" s="194"/>
      <c r="B38" s="194"/>
      <c r="C38" s="196"/>
      <c r="D38" s="152"/>
      <c r="E38" s="197"/>
      <c r="F38" s="197"/>
      <c r="G38" s="197"/>
      <c r="H38" s="197"/>
      <c r="I38" s="197"/>
      <c r="J38" s="197"/>
      <c r="K38" s="197"/>
      <c r="L38" s="197"/>
      <c r="M38" s="189"/>
      <c r="N38" s="166"/>
      <c r="O38" s="132"/>
      <c r="P38" s="132"/>
      <c r="Q38" s="216"/>
      <c r="R38" s="230"/>
      <c r="S38" s="209"/>
      <c r="T38" s="209"/>
      <c r="U38" s="223"/>
      <c r="V38" s="155"/>
      <c r="W38" s="147"/>
      <c r="X38" s="132"/>
      <c r="Y38" s="132"/>
      <c r="Z38" s="132"/>
    </row>
    <row r="39" spans="1:26" x14ac:dyDescent="0.2">
      <c r="A39" s="198"/>
      <c r="B39" s="194"/>
      <c r="C39" s="194"/>
      <c r="D39" s="199">
        <v>1</v>
      </c>
      <c r="E39" s="200"/>
      <c r="F39" s="200"/>
      <c r="G39" s="200"/>
      <c r="H39" s="200"/>
      <c r="I39" s="200"/>
      <c r="J39" s="200"/>
      <c r="K39" s="200"/>
      <c r="L39" s="200"/>
      <c r="M39" s="292"/>
      <c r="N39" s="166"/>
      <c r="O39" s="132"/>
      <c r="P39" s="132"/>
      <c r="Q39" s="219"/>
      <c r="R39" s="230"/>
      <c r="S39" s="135"/>
      <c r="T39" s="135"/>
      <c r="U39" s="226"/>
      <c r="V39" s="155"/>
      <c r="W39" s="147"/>
      <c r="X39" s="132"/>
      <c r="Y39" s="132"/>
      <c r="Z39" s="132"/>
    </row>
    <row r="40" spans="1:26" x14ac:dyDescent="0.2">
      <c r="A40" s="132"/>
      <c r="B40" s="132"/>
      <c r="C40" s="225"/>
      <c r="D40" s="147"/>
      <c r="E40" s="147"/>
      <c r="F40" s="147"/>
      <c r="G40" s="147"/>
      <c r="H40" s="147"/>
      <c r="I40" s="147"/>
      <c r="J40" s="135"/>
      <c r="K40" s="135"/>
      <c r="L40" s="135"/>
      <c r="M40" s="138"/>
      <c r="N40" s="169"/>
      <c r="O40" s="132"/>
      <c r="P40" s="132"/>
      <c r="Q40" s="222"/>
      <c r="R40" s="214"/>
      <c r="S40" s="142"/>
      <c r="T40" s="142"/>
      <c r="U40" s="312" t="str">
        <f>U32</f>
        <v>Dilutive</v>
      </c>
      <c r="V40" s="155"/>
      <c r="W40" s="147"/>
      <c r="X40" s="132"/>
      <c r="Y40" s="132"/>
      <c r="Z40" s="132"/>
    </row>
    <row r="41" spans="1:26" ht="13.15" customHeight="1" x14ac:dyDescent="0.2">
      <c r="A41" s="132"/>
      <c r="B41" s="132"/>
      <c r="C41" s="225"/>
      <c r="D41" s="147"/>
      <c r="E41" s="147"/>
      <c r="F41" s="147"/>
      <c r="G41" s="147"/>
      <c r="H41" s="147"/>
      <c r="I41" s="147"/>
      <c r="J41" s="200"/>
      <c r="K41" s="200"/>
      <c r="L41" s="200"/>
      <c r="M41" s="197"/>
      <c r="N41" s="194"/>
      <c r="O41" s="132"/>
      <c r="P41" s="132"/>
      <c r="Q41" s="142"/>
      <c r="R41" s="220" t="s">
        <v>98</v>
      </c>
      <c r="S41" s="142" t="s">
        <v>90</v>
      </c>
      <c r="T41" s="142" t="s">
        <v>91</v>
      </c>
      <c r="U41" s="311" t="str">
        <f>U33</f>
        <v>Shares</v>
      </c>
      <c r="V41" s="155"/>
      <c r="W41" s="147"/>
      <c r="X41" s="132"/>
      <c r="Y41" s="132"/>
      <c r="Z41" s="132"/>
    </row>
    <row r="42" spans="1:26" x14ac:dyDescent="0.2">
      <c r="A42" s="215" t="s">
        <v>108</v>
      </c>
      <c r="B42" s="132"/>
      <c r="C42" s="225"/>
      <c r="D42" s="396" t="s">
        <v>151</v>
      </c>
      <c r="E42" s="396"/>
      <c r="F42" s="396"/>
      <c r="G42" s="396"/>
      <c r="H42" s="396"/>
      <c r="I42" s="396"/>
      <c r="J42" s="200"/>
      <c r="K42" s="200"/>
      <c r="L42" s="200"/>
      <c r="M42" s="200"/>
      <c r="N42" s="152"/>
      <c r="O42" s="132"/>
      <c r="P42" s="132"/>
      <c r="Q42" s="142"/>
      <c r="R42" s="205" t="str">
        <f>R34</f>
        <v>A</v>
      </c>
      <c r="S42" s="360">
        <v>17.7</v>
      </c>
      <c r="T42" s="361">
        <v>10</v>
      </c>
      <c r="U42" s="385">
        <f>S42/T42</f>
        <v>1.77</v>
      </c>
      <c r="V42" s="231"/>
      <c r="W42" s="147"/>
      <c r="X42" s="132"/>
      <c r="Y42" s="132"/>
      <c r="Z42" s="132"/>
    </row>
    <row r="43" spans="1:26" ht="12.75" customHeight="1" x14ac:dyDescent="0.2">
      <c r="A43" s="132"/>
      <c r="B43" s="132"/>
      <c r="C43" s="394" t="s">
        <v>67</v>
      </c>
      <c r="D43" s="386">
        <f>P30</f>
        <v>17.540323651661044</v>
      </c>
      <c r="E43" s="387">
        <f>F43-$R$21</f>
        <v>2.5000000000000001E-2</v>
      </c>
      <c r="F43" s="387">
        <f>G43-$R$21</f>
        <v>2.75E-2</v>
      </c>
      <c r="G43" s="388">
        <v>0.03</v>
      </c>
      <c r="H43" s="387">
        <f>G43+$R$21</f>
        <v>3.2500000000000001E-2</v>
      </c>
      <c r="I43" s="387">
        <f>H43+$R$21</f>
        <v>3.5000000000000003E-2</v>
      </c>
      <c r="J43" s="200"/>
      <c r="K43" s="200"/>
      <c r="L43" s="200"/>
      <c r="M43" s="384"/>
      <c r="N43" s="201"/>
      <c r="O43" s="132"/>
      <c r="P43" s="132"/>
      <c r="Q43" s="142"/>
      <c r="R43" s="205" t="str">
        <f>R35</f>
        <v>B</v>
      </c>
      <c r="S43" s="360"/>
      <c r="T43" s="361"/>
      <c r="U43" s="143"/>
      <c r="V43" s="232"/>
      <c r="W43" s="147"/>
      <c r="X43" s="132"/>
      <c r="Y43" s="132"/>
      <c r="Z43" s="132"/>
    </row>
    <row r="44" spans="1:26" ht="14.1" customHeight="1" x14ac:dyDescent="0.2">
      <c r="A44" s="132"/>
      <c r="B44" s="132"/>
      <c r="C44" s="394"/>
      <c r="D44" s="389">
        <f>D45-$R$22</f>
        <v>9.0299999999999991E-2</v>
      </c>
      <c r="E44" s="314">
        <f t="dataTable" ref="E44:I48" dt2D="1" dtr="0" r1="R41" r2="H36"/>
        <v>20.312873699099832</v>
      </c>
      <c r="F44" s="315">
        <v>20.312873699099832</v>
      </c>
      <c r="G44" s="316">
        <v>20.312873699099832</v>
      </c>
      <c r="H44" s="315">
        <v>20.312873699099832</v>
      </c>
      <c r="I44" s="317">
        <v>20.312873699099832</v>
      </c>
      <c r="J44" s="200"/>
      <c r="K44" s="200"/>
      <c r="L44" s="200"/>
      <c r="M44" s="200"/>
      <c r="N44" s="144"/>
      <c r="O44" s="132"/>
      <c r="P44" s="132"/>
      <c r="Q44" s="142"/>
      <c r="R44" s="205" t="str">
        <f>R36</f>
        <v>C</v>
      </c>
      <c r="S44" s="360"/>
      <c r="T44" s="361"/>
      <c r="U44" s="143"/>
      <c r="V44" s="234"/>
      <c r="W44" s="147"/>
      <c r="X44" s="132"/>
      <c r="Y44" s="132"/>
      <c r="Z44" s="132"/>
    </row>
    <row r="45" spans="1:26" ht="14.1" customHeight="1" thickBot="1" x14ac:dyDescent="0.25">
      <c r="A45" s="132"/>
      <c r="B45" s="132"/>
      <c r="C45" s="394"/>
      <c r="D45" s="389">
        <f>D46-$R$22</f>
        <v>9.5299999999999996E-2</v>
      </c>
      <c r="E45" s="318">
        <v>18.819541307319835</v>
      </c>
      <c r="F45" s="319">
        <v>18.819541307319835</v>
      </c>
      <c r="G45" s="320">
        <v>18.819541307319835</v>
      </c>
      <c r="H45" s="321">
        <v>18.819541307319835</v>
      </c>
      <c r="I45" s="322">
        <v>18.819541307319835</v>
      </c>
      <c r="J45" s="200"/>
      <c r="K45" s="391" t="s">
        <v>155</v>
      </c>
      <c r="L45" s="200"/>
      <c r="M45" s="200"/>
      <c r="N45" s="166"/>
      <c r="O45" s="132"/>
      <c r="P45" s="132"/>
      <c r="Q45" s="219"/>
      <c r="R45" s="242" t="str">
        <f>R37</f>
        <v xml:space="preserve">Total </v>
      </c>
      <c r="S45" s="243">
        <f>SUM(S42:S44)</f>
        <v>17.7</v>
      </c>
      <c r="T45" s="244"/>
      <c r="U45" s="309">
        <f>SUM(U42:U44)</f>
        <v>1.77</v>
      </c>
      <c r="V45" s="310"/>
      <c r="W45" s="147"/>
      <c r="X45" s="132"/>
      <c r="Y45" s="132"/>
      <c r="Z45" s="132"/>
    </row>
    <row r="46" spans="1:26" ht="14.1" customHeight="1" thickBot="1" x14ac:dyDescent="0.25">
      <c r="A46" s="132"/>
      <c r="B46" s="132"/>
      <c r="C46" s="394"/>
      <c r="D46" s="390">
        <v>0.1003</v>
      </c>
      <c r="E46" s="323">
        <v>17.540323651661044</v>
      </c>
      <c r="F46" s="324">
        <v>17.540323651661044</v>
      </c>
      <c r="G46" s="325">
        <v>17.540323651661044</v>
      </c>
      <c r="H46" s="324">
        <v>17.540323651661044</v>
      </c>
      <c r="I46" s="326">
        <v>17.540323651661044</v>
      </c>
      <c r="J46" s="391"/>
      <c r="K46" s="392" t="s">
        <v>156</v>
      </c>
      <c r="L46" s="200" t="str">
        <f>S18</f>
        <v>Estimated Gordon Growth Rate</v>
      </c>
      <c r="M46" s="200"/>
      <c r="N46" s="144"/>
      <c r="O46" s="132"/>
      <c r="P46" s="132"/>
      <c r="Q46" s="219"/>
      <c r="R46" s="132"/>
      <c r="S46" s="147"/>
      <c r="T46" s="147"/>
      <c r="U46" s="228"/>
      <c r="V46" s="307"/>
      <c r="W46" s="147"/>
      <c r="X46" s="132"/>
      <c r="Y46" s="132"/>
      <c r="Z46" s="132"/>
    </row>
    <row r="47" spans="1:26" ht="14.1" customHeight="1" x14ac:dyDescent="0.35">
      <c r="A47" s="132"/>
      <c r="B47" s="132"/>
      <c r="C47" s="394"/>
      <c r="D47" s="389">
        <f>D46+$R$22</f>
        <v>0.1053</v>
      </c>
      <c r="E47" s="318">
        <v>16.432531018454572</v>
      </c>
      <c r="F47" s="321">
        <v>16.432531018454572</v>
      </c>
      <c r="G47" s="320">
        <v>16.432531018454572</v>
      </c>
      <c r="H47" s="319">
        <v>16.432531018454572</v>
      </c>
      <c r="I47" s="322">
        <v>16.432531018454572</v>
      </c>
      <c r="J47" s="391"/>
      <c r="K47" s="392" t="s">
        <v>157</v>
      </c>
      <c r="L47" s="200">
        <f>I36</f>
        <v>0.1003</v>
      </c>
      <c r="M47" s="200"/>
      <c r="N47" s="144"/>
      <c r="O47" s="132"/>
      <c r="P47" s="132"/>
      <c r="Q47" s="132"/>
      <c r="R47" s="132"/>
      <c r="S47" s="132"/>
      <c r="T47" s="132"/>
      <c r="U47" s="238"/>
      <c r="V47" s="307"/>
      <c r="W47" s="147"/>
      <c r="X47" s="132"/>
      <c r="Y47" s="132"/>
      <c r="Z47" s="132"/>
    </row>
    <row r="48" spans="1:26" ht="14.1" customHeight="1" x14ac:dyDescent="0.2">
      <c r="A48" s="132"/>
      <c r="B48" s="132"/>
      <c r="C48" s="394"/>
      <c r="D48" s="389">
        <f>D47+$R$22</f>
        <v>0.11030000000000001</v>
      </c>
      <c r="E48" s="327">
        <v>15.464107252625906</v>
      </c>
      <c r="F48" s="328">
        <v>15.464107252625906</v>
      </c>
      <c r="G48" s="329">
        <v>15.464107252625906</v>
      </c>
      <c r="H48" s="328">
        <v>15.464107252625906</v>
      </c>
      <c r="I48" s="330">
        <v>15.464107252625906</v>
      </c>
      <c r="J48" s="200"/>
      <c r="K48" s="200"/>
      <c r="L48" s="200"/>
      <c r="M48" s="200"/>
      <c r="N48" s="166"/>
      <c r="O48" s="132"/>
      <c r="P48" s="132"/>
      <c r="Q48" s="132"/>
      <c r="R48" s="132"/>
      <c r="S48" s="132"/>
      <c r="T48" s="132"/>
      <c r="U48" s="308"/>
      <c r="V48" s="219"/>
      <c r="W48" s="132"/>
      <c r="X48" s="132"/>
      <c r="Y48" s="132"/>
      <c r="Z48" s="132"/>
    </row>
    <row r="49" spans="1:26" ht="14.1" customHeight="1" x14ac:dyDescent="0.2">
      <c r="A49" s="132"/>
      <c r="B49" s="132"/>
      <c r="C49" s="132"/>
      <c r="D49" s="132"/>
      <c r="E49" s="132"/>
      <c r="F49" s="132"/>
      <c r="G49" s="132"/>
      <c r="H49" s="132"/>
      <c r="I49" s="132"/>
      <c r="J49" s="200"/>
      <c r="K49" s="200"/>
      <c r="L49" s="200"/>
      <c r="M49" s="200"/>
      <c r="N49" s="144"/>
      <c r="O49" s="132"/>
      <c r="P49" s="132"/>
      <c r="Q49" s="132"/>
      <c r="R49" s="132"/>
      <c r="S49" s="132"/>
      <c r="T49" s="132"/>
      <c r="U49" s="147"/>
      <c r="V49" s="147"/>
      <c r="W49" s="132"/>
      <c r="X49" s="132"/>
      <c r="Y49" s="132"/>
      <c r="Z49" s="132"/>
    </row>
    <row r="50" spans="1:26" ht="14.1" customHeight="1" x14ac:dyDescent="0.2">
      <c r="A50" s="132"/>
      <c r="B50" s="132"/>
      <c r="C50" s="132"/>
      <c r="D50" s="132"/>
      <c r="E50" s="132"/>
      <c r="F50" s="132"/>
      <c r="G50" s="132"/>
      <c r="H50" s="132"/>
      <c r="I50" s="132"/>
      <c r="J50" s="200"/>
      <c r="K50" s="200"/>
      <c r="L50" s="200"/>
      <c r="M50" s="200"/>
      <c r="N50" s="144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</row>
    <row r="51" spans="1:26" ht="14.1" customHeight="1" x14ac:dyDescent="0.2">
      <c r="A51" s="132"/>
      <c r="B51" s="132"/>
      <c r="C51" s="132"/>
      <c r="D51" s="132"/>
      <c r="E51" s="132"/>
      <c r="F51" s="132"/>
      <c r="G51" s="132"/>
      <c r="H51" s="132"/>
      <c r="I51" s="132"/>
      <c r="J51" s="200"/>
      <c r="K51" s="200"/>
      <c r="L51" s="200"/>
      <c r="M51" s="200"/>
      <c r="N51" s="169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</row>
    <row r="52" spans="1:26" ht="14.1" customHeight="1" x14ac:dyDescent="0.2">
      <c r="A52" s="383" t="s">
        <v>154</v>
      </c>
      <c r="B52" s="132"/>
      <c r="C52" s="132"/>
      <c r="D52" s="132"/>
      <c r="E52" s="132"/>
      <c r="F52" s="132"/>
      <c r="G52" s="132"/>
      <c r="H52" s="132"/>
      <c r="I52" s="132"/>
      <c r="J52" s="200"/>
      <c r="K52" s="200"/>
      <c r="L52" s="200"/>
      <c r="M52" s="200"/>
      <c r="N52" s="165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</row>
    <row r="53" spans="1:26" ht="14.1" customHeight="1" x14ac:dyDescent="0.2">
      <c r="A53" s="383"/>
      <c r="B53" s="132"/>
      <c r="C53" s="132"/>
      <c r="D53" s="132"/>
      <c r="E53" s="132"/>
      <c r="F53" s="132"/>
      <c r="G53" s="132"/>
      <c r="H53" s="132"/>
      <c r="I53" s="132"/>
      <c r="J53" s="200"/>
      <c r="K53" s="200"/>
      <c r="L53" s="200"/>
      <c r="M53" s="200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</row>
    <row r="54" spans="1:26" ht="14.1" customHeight="1" x14ac:dyDescent="0.2">
      <c r="A54" s="132"/>
      <c r="B54" s="132"/>
      <c r="C54" s="132"/>
      <c r="D54" s="132"/>
      <c r="E54" s="132"/>
      <c r="F54" s="132"/>
      <c r="G54" s="132"/>
      <c r="H54" s="132"/>
      <c r="I54" s="132"/>
      <c r="J54" s="200"/>
      <c r="K54" s="200"/>
      <c r="L54" s="200"/>
      <c r="M54" s="200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</row>
    <row r="55" spans="1:26" ht="14.1" customHeight="1" x14ac:dyDescent="0.2">
      <c r="A55" s="132"/>
      <c r="B55" s="132"/>
      <c r="C55" s="132"/>
      <c r="D55" s="132"/>
      <c r="E55" s="132"/>
      <c r="F55" s="132"/>
      <c r="G55" s="132"/>
      <c r="H55" s="132"/>
      <c r="I55" s="132"/>
      <c r="J55" s="200"/>
      <c r="K55" s="200"/>
      <c r="L55" s="200"/>
      <c r="M55" s="200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</row>
    <row r="56" spans="1:26" ht="14.1" customHeight="1" x14ac:dyDescent="0.2">
      <c r="A56" s="132"/>
      <c r="B56" s="132"/>
      <c r="C56" s="132"/>
      <c r="D56" s="132"/>
      <c r="E56" s="132"/>
      <c r="F56" s="132"/>
      <c r="G56" s="132"/>
      <c r="H56" s="132"/>
      <c r="I56" s="132"/>
      <c r="J56" s="200"/>
      <c r="K56" s="200"/>
      <c r="L56" s="200"/>
      <c r="M56" s="200"/>
      <c r="N56" s="132"/>
      <c r="O56" s="132"/>
      <c r="P56" s="132"/>
      <c r="Q56" s="132"/>
      <c r="R56" s="132"/>
      <c r="S56" s="132"/>
      <c r="T56" s="132"/>
      <c r="U56" s="132"/>
      <c r="V56" s="132"/>
      <c r="W56" s="218"/>
      <c r="X56" s="218"/>
      <c r="Y56" s="218"/>
      <c r="Z56" s="218"/>
    </row>
    <row r="57" spans="1:26" ht="14.1" customHeight="1" x14ac:dyDescent="0.2">
      <c r="A57" s="132"/>
      <c r="B57" s="132"/>
      <c r="C57" s="132"/>
      <c r="D57" s="132"/>
      <c r="E57" s="132"/>
      <c r="F57" s="132"/>
      <c r="G57" s="132"/>
      <c r="H57" s="132"/>
      <c r="I57" s="132"/>
      <c r="J57" s="200"/>
      <c r="K57" s="200"/>
      <c r="L57" s="200"/>
      <c r="M57" s="200"/>
      <c r="N57" s="132"/>
      <c r="O57" s="132"/>
      <c r="P57" s="132"/>
      <c r="Q57" s="132"/>
      <c r="R57" s="132"/>
      <c r="S57" s="132"/>
      <c r="T57" s="132"/>
      <c r="U57" s="132"/>
      <c r="V57" s="132"/>
      <c r="W57" s="219"/>
      <c r="X57" s="132"/>
      <c r="Y57" s="132"/>
      <c r="Z57" s="219"/>
    </row>
    <row r="58" spans="1:26" ht="14.1" customHeight="1" x14ac:dyDescent="0.2">
      <c r="A58" s="132"/>
      <c r="B58" s="132"/>
      <c r="C58" s="132"/>
      <c r="D58" s="132"/>
      <c r="E58" s="132"/>
      <c r="F58" s="132"/>
      <c r="G58" s="132"/>
      <c r="H58" s="132"/>
      <c r="I58" s="132"/>
      <c r="J58" s="200"/>
      <c r="K58" s="200"/>
      <c r="L58" s="200"/>
      <c r="M58" s="200"/>
      <c r="N58" s="132"/>
      <c r="O58" s="132"/>
      <c r="P58" s="132"/>
      <c r="Q58" s="132"/>
      <c r="R58" s="132"/>
      <c r="S58" s="132"/>
      <c r="T58" s="132"/>
      <c r="U58" s="132"/>
      <c r="V58" s="132"/>
      <c r="W58" s="219"/>
      <c r="X58" s="132"/>
      <c r="Y58" s="132"/>
      <c r="Z58" s="219"/>
    </row>
    <row r="59" spans="1:26" ht="14.1" customHeight="1" x14ac:dyDescent="0.2">
      <c r="A59" s="132"/>
      <c r="B59" s="132"/>
      <c r="C59" s="132"/>
      <c r="D59" s="132"/>
      <c r="E59" s="132"/>
      <c r="F59" s="132"/>
      <c r="G59" s="132"/>
      <c r="H59" s="132"/>
      <c r="I59" s="132"/>
      <c r="J59" s="200"/>
      <c r="K59" s="200"/>
      <c r="L59" s="200"/>
      <c r="M59" s="200"/>
      <c r="N59" s="132"/>
      <c r="O59" s="132"/>
      <c r="P59" s="132"/>
      <c r="Q59" s="132"/>
      <c r="R59" s="132"/>
      <c r="S59" s="132"/>
      <c r="T59" s="132"/>
      <c r="U59" s="132"/>
      <c r="V59" s="132"/>
      <c r="W59" s="224"/>
      <c r="X59" s="132"/>
      <c r="Y59" s="132"/>
      <c r="Z59" s="219"/>
    </row>
    <row r="60" spans="1:26" ht="14.1" customHeight="1" x14ac:dyDescent="0.2">
      <c r="A60" s="132"/>
      <c r="B60" s="132"/>
      <c r="C60" s="132"/>
      <c r="D60" s="132"/>
      <c r="E60" s="132"/>
      <c r="F60" s="132"/>
      <c r="G60" s="132"/>
      <c r="H60" s="132"/>
      <c r="I60" s="132"/>
      <c r="J60" s="229"/>
      <c r="K60" s="229"/>
      <c r="L60" s="229"/>
      <c r="M60" s="200"/>
      <c r="N60" s="132"/>
      <c r="O60" s="132"/>
      <c r="P60" s="132"/>
      <c r="Q60" s="132"/>
      <c r="R60" s="132"/>
      <c r="S60" s="132"/>
      <c r="T60" s="132"/>
      <c r="U60" s="132"/>
      <c r="V60" s="132"/>
      <c r="W60" s="224"/>
      <c r="X60" s="132"/>
      <c r="Y60" s="132"/>
      <c r="Z60" s="219"/>
    </row>
    <row r="61" spans="1:26" ht="14.1" customHeight="1" x14ac:dyDescent="0.2">
      <c r="A61" s="132"/>
      <c r="B61" s="132"/>
      <c r="C61" s="132"/>
      <c r="D61" s="132"/>
      <c r="E61" s="132"/>
      <c r="F61" s="132"/>
      <c r="G61" s="132"/>
      <c r="H61" s="132"/>
      <c r="I61" s="132"/>
      <c r="J61" s="229"/>
      <c r="K61" s="229"/>
      <c r="L61" s="229"/>
      <c r="M61" s="200"/>
      <c r="N61" s="132"/>
      <c r="O61" s="132"/>
      <c r="P61" s="132"/>
      <c r="Q61" s="132"/>
      <c r="R61" s="132"/>
      <c r="S61" s="132"/>
      <c r="T61" s="132"/>
      <c r="U61" s="132"/>
      <c r="V61" s="132"/>
      <c r="W61" s="224"/>
      <c r="X61" s="132"/>
      <c r="Y61" s="132"/>
      <c r="Z61" s="219"/>
    </row>
    <row r="62" spans="1:26" ht="14.1" customHeight="1" x14ac:dyDescent="0.2">
      <c r="A62" s="132"/>
      <c r="B62" s="132"/>
      <c r="C62" s="132"/>
      <c r="D62" s="132"/>
      <c r="E62" s="132"/>
      <c r="F62" s="132"/>
      <c r="G62" s="132"/>
      <c r="H62" s="132"/>
      <c r="I62" s="132"/>
      <c r="J62" s="229"/>
      <c r="K62" s="229"/>
      <c r="L62" s="229"/>
      <c r="M62" s="200"/>
      <c r="N62" s="132"/>
      <c r="O62" s="132"/>
      <c r="P62" s="132"/>
      <c r="Q62" s="132"/>
      <c r="R62" s="132"/>
      <c r="S62" s="132"/>
      <c r="T62" s="132"/>
      <c r="U62" s="132"/>
      <c r="V62" s="132"/>
      <c r="W62" s="224"/>
      <c r="X62" s="132"/>
      <c r="Y62" s="132"/>
      <c r="Z62" s="219"/>
    </row>
    <row r="63" spans="1:26" ht="14.1" customHeight="1" x14ac:dyDescent="0.2">
      <c r="A63" s="132"/>
      <c r="B63" s="132"/>
      <c r="C63" s="132"/>
      <c r="D63" s="132"/>
      <c r="E63" s="132"/>
      <c r="F63" s="132"/>
      <c r="G63" s="132"/>
      <c r="H63" s="132"/>
      <c r="I63" s="132"/>
      <c r="J63" s="229"/>
      <c r="K63" s="229"/>
      <c r="L63" s="229"/>
      <c r="M63" s="229"/>
      <c r="N63" s="132"/>
      <c r="O63" s="132"/>
      <c r="P63" s="132"/>
      <c r="Q63" s="132"/>
      <c r="R63" s="132"/>
      <c r="S63" s="132"/>
      <c r="T63" s="132"/>
      <c r="U63" s="132"/>
      <c r="V63" s="132"/>
      <c r="W63" s="224"/>
      <c r="X63" s="132"/>
      <c r="Y63" s="132"/>
      <c r="Z63" s="219"/>
    </row>
    <row r="64" spans="1:26" ht="14.1" customHeight="1" x14ac:dyDescent="0.2">
      <c r="A64" s="132"/>
      <c r="B64" s="132"/>
      <c r="C64" s="132"/>
      <c r="D64" s="132"/>
      <c r="E64" s="132"/>
      <c r="F64" s="132"/>
      <c r="G64" s="132"/>
      <c r="H64" s="132"/>
      <c r="I64" s="132"/>
      <c r="J64" s="229"/>
      <c r="K64" s="229"/>
      <c r="L64" s="229"/>
      <c r="M64" s="229"/>
      <c r="N64" s="132"/>
      <c r="O64" s="132"/>
      <c r="P64" s="132"/>
      <c r="Q64" s="132"/>
      <c r="R64" s="132"/>
      <c r="S64" s="132"/>
      <c r="T64" s="132"/>
      <c r="U64" s="132"/>
      <c r="V64" s="132"/>
      <c r="W64" s="219"/>
      <c r="X64" s="132"/>
      <c r="Y64" s="132"/>
      <c r="Z64" s="219"/>
    </row>
    <row r="65" spans="1:26" ht="14.1" customHeight="1" x14ac:dyDescent="0.2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47"/>
      <c r="N65" s="132"/>
      <c r="O65" s="132"/>
      <c r="P65" s="132"/>
      <c r="Q65" s="132"/>
      <c r="R65" s="132"/>
      <c r="S65" s="132"/>
      <c r="T65" s="132"/>
      <c r="U65" s="132"/>
      <c r="V65" s="132"/>
      <c r="W65" s="222"/>
      <c r="X65" s="219"/>
      <c r="Y65" s="219"/>
      <c r="Z65" s="233"/>
    </row>
    <row r="66" spans="1:26" ht="14.1" customHeight="1" x14ac:dyDescent="0.2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224"/>
      <c r="X66" s="235"/>
      <c r="Y66" s="236"/>
      <c r="Z66" s="237"/>
    </row>
    <row r="67" spans="1:26" ht="14.1" customHeight="1" x14ac:dyDescent="0.2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224"/>
      <c r="X67" s="235"/>
      <c r="Y67" s="236"/>
      <c r="Z67" s="237"/>
    </row>
    <row r="68" spans="1:26" ht="14.1" customHeight="1" x14ac:dyDescent="0.2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224"/>
      <c r="X68" s="235"/>
      <c r="Y68" s="236"/>
      <c r="Z68" s="237"/>
    </row>
    <row r="69" spans="1:26" ht="14.1" customHeight="1" x14ac:dyDescent="0.2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224"/>
      <c r="X69" s="235"/>
      <c r="Y69" s="236"/>
      <c r="Z69" s="237"/>
    </row>
    <row r="70" spans="1:26" ht="14.1" customHeight="1" x14ac:dyDescent="0.2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224"/>
      <c r="X70" s="235"/>
      <c r="Y70" s="236"/>
      <c r="Z70" s="237"/>
    </row>
    <row r="71" spans="1:26" ht="14.1" customHeight="1" x14ac:dyDescent="0.35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239"/>
      <c r="X71" s="240"/>
      <c r="Y71" s="236"/>
      <c r="Z71" s="241"/>
    </row>
    <row r="72" spans="1:26" ht="14.1" customHeight="1" x14ac:dyDescent="0.2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237"/>
      <c r="X72" s="245"/>
      <c r="Y72" s="219"/>
      <c r="Z72" s="246"/>
    </row>
    <row r="73" spans="1:26" ht="14.1" customHeight="1" x14ac:dyDescent="0.2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47"/>
      <c r="X73" s="147"/>
      <c r="Y73" s="147"/>
      <c r="Z73" s="147"/>
    </row>
    <row r="74" spans="1:26" ht="14.1" customHeight="1" x14ac:dyDescent="0.2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</row>
    <row r="75" spans="1:26" ht="14.1" customHeight="1" x14ac:dyDescent="0.2">
      <c r="A75" s="132"/>
      <c r="B75" s="132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</row>
    <row r="76" spans="1:26" ht="14.1" customHeight="1" x14ac:dyDescent="0.2">
      <c r="A76" s="132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</row>
    <row r="77" spans="1:26" ht="14.1" customHeight="1" x14ac:dyDescent="0.2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</row>
    <row r="78" spans="1:26" ht="14.1" customHeight="1" x14ac:dyDescent="0.2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</row>
    <row r="79" spans="1:26" ht="14.1" customHeight="1" x14ac:dyDescent="0.2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</row>
    <row r="80" spans="1:26" ht="14.1" customHeight="1" x14ac:dyDescent="0.2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</row>
    <row r="81" spans="1:26" ht="14.1" customHeight="1" x14ac:dyDescent="0.2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</row>
    <row r="82" spans="1:26" ht="14.1" customHeight="1" x14ac:dyDescent="0.2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</row>
    <row r="83" spans="1:26" ht="14.1" customHeight="1" x14ac:dyDescent="0.2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0"/>
      <c r="S83" s="130"/>
      <c r="T83" s="130"/>
      <c r="U83" s="132"/>
      <c r="V83" s="132"/>
      <c r="W83" s="132"/>
      <c r="X83" s="132"/>
      <c r="Y83" s="132"/>
      <c r="Z83" s="132"/>
    </row>
    <row r="84" spans="1:26" ht="14.1" customHeight="1" x14ac:dyDescent="0.2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0"/>
      <c r="S84" s="130"/>
      <c r="T84" s="130"/>
      <c r="U84" s="132"/>
      <c r="V84" s="132"/>
      <c r="W84" s="132"/>
      <c r="X84" s="132"/>
      <c r="Y84" s="132"/>
      <c r="Z84" s="132"/>
    </row>
    <row r="85" spans="1:26" ht="14.1" customHeight="1" x14ac:dyDescent="0.2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0"/>
      <c r="S85" s="130"/>
      <c r="T85" s="130"/>
      <c r="U85" s="132"/>
      <c r="V85" s="132"/>
      <c r="W85" s="132"/>
      <c r="X85" s="132"/>
      <c r="Y85" s="132"/>
      <c r="Z85" s="132"/>
    </row>
    <row r="86" spans="1:26" ht="14.1" customHeight="1" x14ac:dyDescent="0.2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</row>
    <row r="87" spans="1:26" ht="14.1" customHeight="1" x14ac:dyDescent="0.2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</row>
    <row r="88" spans="1:26" x14ac:dyDescent="0.2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</row>
    <row r="89" spans="1:26" x14ac:dyDescent="0.2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</row>
    <row r="90" spans="1:26" x14ac:dyDescent="0.2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</row>
    <row r="91" spans="1:26" x14ac:dyDescent="0.2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</row>
    <row r="92" spans="1:26" x14ac:dyDescent="0.2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</row>
    <row r="93" spans="1:26" x14ac:dyDescent="0.2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</row>
    <row r="94" spans="1:26" x14ac:dyDescent="0.2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</row>
    <row r="95" spans="1:26" x14ac:dyDescent="0.2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</row>
    <row r="96" spans="1:26" x14ac:dyDescent="0.2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</row>
    <row r="97" spans="1:26" x14ac:dyDescent="0.2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</row>
    <row r="98" spans="1:26" x14ac:dyDescent="0.2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</row>
    <row r="99" spans="1:26" x14ac:dyDescent="0.2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</row>
    <row r="100" spans="1:26" x14ac:dyDescent="0.2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</row>
    <row r="101" spans="1:26" x14ac:dyDescent="0.2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</row>
    <row r="102" spans="1:26" x14ac:dyDescent="0.2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</row>
    <row r="103" spans="1:26" x14ac:dyDescent="0.2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</row>
    <row r="104" spans="1:26" x14ac:dyDescent="0.2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</row>
    <row r="105" spans="1:26" s="132" customFormat="1" x14ac:dyDescent="0.2"/>
    <row r="106" spans="1:26" s="132" customFormat="1" x14ac:dyDescent="0.2"/>
    <row r="107" spans="1:26" s="132" customFormat="1" x14ac:dyDescent="0.2"/>
    <row r="108" spans="1:26" s="132" customFormat="1" x14ac:dyDescent="0.2"/>
    <row r="109" spans="1:26" s="132" customFormat="1" x14ac:dyDescent="0.2"/>
    <row r="110" spans="1:26" s="132" customFormat="1" x14ac:dyDescent="0.2"/>
    <row r="111" spans="1:26" s="132" customFormat="1" x14ac:dyDescent="0.2"/>
    <row r="112" spans="1:26" s="132" customFormat="1" x14ac:dyDescent="0.2"/>
    <row r="113" s="132" customFormat="1" x14ac:dyDescent="0.2"/>
    <row r="114" s="132" customFormat="1" x14ac:dyDescent="0.2"/>
    <row r="115" s="132" customFormat="1" x14ac:dyDescent="0.2"/>
    <row r="116" s="132" customFormat="1" x14ac:dyDescent="0.2"/>
    <row r="117" s="132" customFormat="1" x14ac:dyDescent="0.2"/>
    <row r="118" s="132" customFormat="1" x14ac:dyDescent="0.2"/>
    <row r="119" s="132" customFormat="1" x14ac:dyDescent="0.2"/>
    <row r="120" s="132" customFormat="1" x14ac:dyDescent="0.2"/>
    <row r="121" s="132" customFormat="1" x14ac:dyDescent="0.2"/>
    <row r="122" s="132" customFormat="1" x14ac:dyDescent="0.2"/>
    <row r="123" s="132" customFormat="1" x14ac:dyDescent="0.2"/>
    <row r="124" s="132" customFormat="1" x14ac:dyDescent="0.2"/>
    <row r="125" s="132" customFormat="1" x14ac:dyDescent="0.2"/>
    <row r="126" s="132" customFormat="1" x14ac:dyDescent="0.2"/>
    <row r="127" s="132" customFormat="1" x14ac:dyDescent="0.2"/>
    <row r="128" s="132" customFormat="1" x14ac:dyDescent="0.2"/>
    <row r="129" s="132" customFormat="1" x14ac:dyDescent="0.2"/>
    <row r="130" s="132" customFormat="1" x14ac:dyDescent="0.2"/>
    <row r="131" s="132" customFormat="1" x14ac:dyDescent="0.2"/>
    <row r="132" s="132" customFormat="1" x14ac:dyDescent="0.2"/>
    <row r="133" s="132" customFormat="1" x14ac:dyDescent="0.2"/>
    <row r="134" s="132" customFormat="1" x14ac:dyDescent="0.2"/>
    <row r="135" s="132" customFormat="1" x14ac:dyDescent="0.2"/>
    <row r="136" s="132" customFormat="1" x14ac:dyDescent="0.2"/>
    <row r="137" s="132" customFormat="1" x14ac:dyDescent="0.2"/>
    <row r="138" s="132" customFormat="1" x14ac:dyDescent="0.2"/>
    <row r="139" s="132" customFormat="1" x14ac:dyDescent="0.2"/>
    <row r="140" s="132" customFormat="1" x14ac:dyDescent="0.2"/>
    <row r="141" s="132" customFormat="1" x14ac:dyDescent="0.2"/>
    <row r="142" s="132" customFormat="1" x14ac:dyDescent="0.2"/>
    <row r="143" s="132" customFormat="1" x14ac:dyDescent="0.2"/>
    <row r="144" s="132" customFormat="1" x14ac:dyDescent="0.2"/>
    <row r="145" s="132" customFormat="1" x14ac:dyDescent="0.2"/>
    <row r="146" s="132" customFormat="1" x14ac:dyDescent="0.2"/>
    <row r="147" s="132" customFormat="1" x14ac:dyDescent="0.2"/>
    <row r="148" s="132" customFormat="1" x14ac:dyDescent="0.2"/>
    <row r="149" s="132" customFormat="1" x14ac:dyDescent="0.2"/>
    <row r="150" s="132" customFormat="1" x14ac:dyDescent="0.2"/>
    <row r="151" s="132" customFormat="1" x14ac:dyDescent="0.2"/>
    <row r="152" s="132" customFormat="1" x14ac:dyDescent="0.2"/>
    <row r="153" s="132" customFormat="1" x14ac:dyDescent="0.2"/>
    <row r="154" s="132" customFormat="1" x14ac:dyDescent="0.2"/>
    <row r="155" s="132" customFormat="1" x14ac:dyDescent="0.2"/>
    <row r="156" s="132" customFormat="1" x14ac:dyDescent="0.2"/>
    <row r="157" s="132" customFormat="1" x14ac:dyDescent="0.2"/>
    <row r="158" s="132" customFormat="1" x14ac:dyDescent="0.2"/>
    <row r="159" s="132" customFormat="1" x14ac:dyDescent="0.2"/>
    <row r="160" s="132" customFormat="1" x14ac:dyDescent="0.2"/>
    <row r="161" s="132" customFormat="1" x14ac:dyDescent="0.2"/>
    <row r="162" s="132" customFormat="1" x14ac:dyDescent="0.2"/>
    <row r="163" s="132" customFormat="1" x14ac:dyDescent="0.2"/>
    <row r="164" s="132" customFormat="1" x14ac:dyDescent="0.2"/>
    <row r="165" s="132" customFormat="1" x14ac:dyDescent="0.2"/>
    <row r="166" s="132" customFormat="1" x14ac:dyDescent="0.2"/>
    <row r="167" s="132" customFormat="1" x14ac:dyDescent="0.2"/>
    <row r="168" s="132" customFormat="1" x14ac:dyDescent="0.2"/>
    <row r="169" s="132" customFormat="1" x14ac:dyDescent="0.2"/>
    <row r="170" s="132" customFormat="1" x14ac:dyDescent="0.2"/>
    <row r="171" s="132" customFormat="1" x14ac:dyDescent="0.2"/>
    <row r="172" s="132" customFormat="1" x14ac:dyDescent="0.2"/>
    <row r="173" s="132" customFormat="1" x14ac:dyDescent="0.2"/>
    <row r="174" s="132" customFormat="1" x14ac:dyDescent="0.2"/>
    <row r="175" s="132" customFormat="1" x14ac:dyDescent="0.2"/>
    <row r="176" s="132" customFormat="1" x14ac:dyDescent="0.2"/>
    <row r="177" s="132" customFormat="1" x14ac:dyDescent="0.2"/>
    <row r="178" s="132" customFormat="1" x14ac:dyDescent="0.2"/>
    <row r="179" s="132" customFormat="1" x14ac:dyDescent="0.2"/>
    <row r="180" s="132" customFormat="1" x14ac:dyDescent="0.2"/>
    <row r="181" s="132" customFormat="1" x14ac:dyDescent="0.2"/>
    <row r="182" s="132" customFormat="1" x14ac:dyDescent="0.2"/>
    <row r="183" s="132" customFormat="1" x14ac:dyDescent="0.2"/>
    <row r="184" s="132" customFormat="1" x14ac:dyDescent="0.2"/>
    <row r="185" s="132" customFormat="1" x14ac:dyDescent="0.2"/>
    <row r="186" s="132" customFormat="1" x14ac:dyDescent="0.2"/>
    <row r="187" s="132" customFormat="1" x14ac:dyDescent="0.2"/>
    <row r="188" s="132" customFormat="1" x14ac:dyDescent="0.2"/>
    <row r="189" s="132" customFormat="1" x14ac:dyDescent="0.2"/>
    <row r="190" s="132" customFormat="1" x14ac:dyDescent="0.2"/>
    <row r="191" s="132" customFormat="1" x14ac:dyDescent="0.2"/>
    <row r="192" s="132" customFormat="1" x14ac:dyDescent="0.2"/>
    <row r="193" s="132" customFormat="1" x14ac:dyDescent="0.2"/>
    <row r="194" s="132" customFormat="1" x14ac:dyDescent="0.2"/>
    <row r="195" s="132" customFormat="1" x14ac:dyDescent="0.2"/>
    <row r="196" s="132" customFormat="1" x14ac:dyDescent="0.2"/>
    <row r="197" s="132" customFormat="1" x14ac:dyDescent="0.2"/>
    <row r="198" s="132" customFormat="1" x14ac:dyDescent="0.2"/>
    <row r="199" s="132" customFormat="1" x14ac:dyDescent="0.2"/>
    <row r="200" s="132" customFormat="1" x14ac:dyDescent="0.2"/>
    <row r="201" s="132" customFormat="1" x14ac:dyDescent="0.2"/>
    <row r="202" s="132" customFormat="1" x14ac:dyDescent="0.2"/>
    <row r="203" s="132" customFormat="1" x14ac:dyDescent="0.2"/>
    <row r="204" s="132" customFormat="1" x14ac:dyDescent="0.2"/>
    <row r="205" s="132" customFormat="1" x14ac:dyDescent="0.2"/>
    <row r="206" s="132" customFormat="1" x14ac:dyDescent="0.2"/>
    <row r="207" s="132" customFormat="1" x14ac:dyDescent="0.2"/>
    <row r="208" s="132" customFormat="1" x14ac:dyDescent="0.2"/>
    <row r="209" s="132" customFormat="1" x14ac:dyDescent="0.2"/>
    <row r="210" s="132" customFormat="1" x14ac:dyDescent="0.2"/>
    <row r="211" s="132" customFormat="1" x14ac:dyDescent="0.2"/>
    <row r="212" s="132" customFormat="1" x14ac:dyDescent="0.2"/>
    <row r="213" s="132" customFormat="1" x14ac:dyDescent="0.2"/>
    <row r="214" s="132" customFormat="1" x14ac:dyDescent="0.2"/>
    <row r="215" s="132" customFormat="1" x14ac:dyDescent="0.2"/>
    <row r="216" s="132" customFormat="1" x14ac:dyDescent="0.2"/>
    <row r="217" s="132" customFormat="1" x14ac:dyDescent="0.2"/>
    <row r="218" s="132" customFormat="1" x14ac:dyDescent="0.2"/>
    <row r="219" s="132" customFormat="1" x14ac:dyDescent="0.2"/>
    <row r="220" s="132" customFormat="1" x14ac:dyDescent="0.2"/>
    <row r="221" s="132" customFormat="1" x14ac:dyDescent="0.2"/>
    <row r="222" s="132" customFormat="1" x14ac:dyDescent="0.2"/>
    <row r="223" s="132" customFormat="1" x14ac:dyDescent="0.2"/>
    <row r="224" s="132" customFormat="1" x14ac:dyDescent="0.2"/>
    <row r="225" s="132" customFormat="1" x14ac:dyDescent="0.2"/>
    <row r="226" s="132" customFormat="1" x14ac:dyDescent="0.2"/>
    <row r="227" s="132" customFormat="1" x14ac:dyDescent="0.2"/>
    <row r="228" s="132" customFormat="1" x14ac:dyDescent="0.2"/>
    <row r="229" s="132" customFormat="1" x14ac:dyDescent="0.2"/>
    <row r="230" s="132" customFormat="1" x14ac:dyDescent="0.2"/>
    <row r="231" s="132" customFormat="1" x14ac:dyDescent="0.2"/>
    <row r="232" s="132" customFormat="1" x14ac:dyDescent="0.2"/>
    <row r="233" s="132" customFormat="1" x14ac:dyDescent="0.2"/>
    <row r="234" s="132" customFormat="1" x14ac:dyDescent="0.2"/>
    <row r="235" s="132" customFormat="1" x14ac:dyDescent="0.2"/>
    <row r="236" s="132" customFormat="1" x14ac:dyDescent="0.2"/>
    <row r="237" s="132" customFormat="1" x14ac:dyDescent="0.2"/>
    <row r="238" s="132" customFormat="1" x14ac:dyDescent="0.2"/>
    <row r="239" s="132" customFormat="1" x14ac:dyDescent="0.2"/>
    <row r="240" s="132" customFormat="1" x14ac:dyDescent="0.2"/>
    <row r="241" s="132" customFormat="1" x14ac:dyDescent="0.2"/>
    <row r="242" s="132" customFormat="1" x14ac:dyDescent="0.2"/>
    <row r="243" s="132" customFormat="1" x14ac:dyDescent="0.2"/>
    <row r="244" s="132" customFormat="1" x14ac:dyDescent="0.2"/>
    <row r="245" s="132" customFormat="1" x14ac:dyDescent="0.2"/>
    <row r="246" s="132" customFormat="1" x14ac:dyDescent="0.2"/>
    <row r="247" s="132" customFormat="1" x14ac:dyDescent="0.2"/>
    <row r="248" s="132" customFormat="1" x14ac:dyDescent="0.2"/>
    <row r="249" s="132" customFormat="1" x14ac:dyDescent="0.2"/>
    <row r="250" s="132" customFormat="1" x14ac:dyDescent="0.2"/>
    <row r="251" s="132" customFormat="1" x14ac:dyDescent="0.2"/>
    <row r="252" s="132" customFormat="1" x14ac:dyDescent="0.2"/>
    <row r="253" s="132" customFormat="1" x14ac:dyDescent="0.2"/>
    <row r="254" s="132" customFormat="1" x14ac:dyDescent="0.2"/>
    <row r="255" s="132" customFormat="1" x14ac:dyDescent="0.2"/>
    <row r="256" s="132" customFormat="1" x14ac:dyDescent="0.2"/>
    <row r="257" s="132" customFormat="1" x14ac:dyDescent="0.2"/>
    <row r="258" s="132" customFormat="1" x14ac:dyDescent="0.2"/>
    <row r="259" s="132" customFormat="1" x14ac:dyDescent="0.2"/>
    <row r="260" s="132" customFormat="1" x14ac:dyDescent="0.2"/>
    <row r="261" s="132" customFormat="1" x14ac:dyDescent="0.2"/>
    <row r="262" s="132" customFormat="1" x14ac:dyDescent="0.2"/>
    <row r="263" s="132" customFormat="1" x14ac:dyDescent="0.2"/>
    <row r="264" s="132" customFormat="1" x14ac:dyDescent="0.2"/>
    <row r="265" s="132" customFormat="1" x14ac:dyDescent="0.2"/>
    <row r="266" s="132" customFormat="1" x14ac:dyDescent="0.2"/>
    <row r="267" s="132" customFormat="1" x14ac:dyDescent="0.2"/>
    <row r="268" s="132" customFormat="1" x14ac:dyDescent="0.2"/>
    <row r="269" s="132" customFormat="1" x14ac:dyDescent="0.2"/>
    <row r="270" s="132" customFormat="1" x14ac:dyDescent="0.2"/>
    <row r="271" s="132" customFormat="1" x14ac:dyDescent="0.2"/>
    <row r="272" s="132" customFormat="1" x14ac:dyDescent="0.2"/>
    <row r="273" s="132" customFormat="1" x14ac:dyDescent="0.2"/>
    <row r="274" s="132" customFormat="1" x14ac:dyDescent="0.2"/>
    <row r="275" s="132" customFormat="1" x14ac:dyDescent="0.2"/>
    <row r="276" s="132" customFormat="1" x14ac:dyDescent="0.2"/>
    <row r="277" s="132" customFormat="1" x14ac:dyDescent="0.2"/>
    <row r="278" s="132" customFormat="1" x14ac:dyDescent="0.2"/>
    <row r="279" s="132" customFormat="1" x14ac:dyDescent="0.2"/>
    <row r="280" s="132" customFormat="1" x14ac:dyDescent="0.2"/>
    <row r="281" s="132" customFormat="1" x14ac:dyDescent="0.2"/>
    <row r="282" s="132" customFormat="1" x14ac:dyDescent="0.2"/>
    <row r="283" s="132" customFormat="1" x14ac:dyDescent="0.2"/>
    <row r="284" s="132" customFormat="1" x14ac:dyDescent="0.2"/>
    <row r="285" s="132" customFormat="1" x14ac:dyDescent="0.2"/>
    <row r="286" s="132" customFormat="1" x14ac:dyDescent="0.2"/>
    <row r="287" s="132" customFormat="1" x14ac:dyDescent="0.2"/>
    <row r="288" s="132" customFormat="1" x14ac:dyDescent="0.2"/>
    <row r="289" s="132" customFormat="1" x14ac:dyDescent="0.2"/>
    <row r="290" s="132" customFormat="1" x14ac:dyDescent="0.2"/>
    <row r="291" s="132" customFormat="1" x14ac:dyDescent="0.2"/>
    <row r="292" s="132" customFormat="1" x14ac:dyDescent="0.2"/>
    <row r="293" s="132" customFormat="1" x14ac:dyDescent="0.2"/>
    <row r="294" s="132" customFormat="1" x14ac:dyDescent="0.2"/>
    <row r="295" s="132" customFormat="1" x14ac:dyDescent="0.2"/>
    <row r="296" s="132" customFormat="1" x14ac:dyDescent="0.2"/>
    <row r="297" s="132" customFormat="1" x14ac:dyDescent="0.2"/>
    <row r="298" s="132" customFormat="1" x14ac:dyDescent="0.2"/>
    <row r="299" s="132" customFormat="1" x14ac:dyDescent="0.2"/>
    <row r="300" s="132" customFormat="1" x14ac:dyDescent="0.2"/>
    <row r="301" s="132" customFormat="1" x14ac:dyDescent="0.2"/>
    <row r="302" s="132" customFormat="1" x14ac:dyDescent="0.2"/>
    <row r="303" s="132" customFormat="1" x14ac:dyDescent="0.2"/>
    <row r="304" s="132" customFormat="1" x14ac:dyDescent="0.2"/>
    <row r="305" s="132" customFormat="1" x14ac:dyDescent="0.2"/>
    <row r="306" s="132" customFormat="1" x14ac:dyDescent="0.2"/>
    <row r="307" s="132" customFormat="1" x14ac:dyDescent="0.2"/>
    <row r="308" s="132" customFormat="1" x14ac:dyDescent="0.2"/>
    <row r="309" s="132" customFormat="1" x14ac:dyDescent="0.2"/>
    <row r="310" s="132" customFormat="1" x14ac:dyDescent="0.2"/>
    <row r="311" s="132" customFormat="1" x14ac:dyDescent="0.2"/>
    <row r="312" s="132" customFormat="1" x14ac:dyDescent="0.2"/>
    <row r="313" s="132" customFormat="1" x14ac:dyDescent="0.2"/>
    <row r="314" s="132" customFormat="1" x14ac:dyDescent="0.2"/>
    <row r="315" s="132" customFormat="1" x14ac:dyDescent="0.2"/>
    <row r="316" s="132" customFormat="1" x14ac:dyDescent="0.2"/>
    <row r="317" s="132" customFormat="1" x14ac:dyDescent="0.2"/>
    <row r="318" s="132" customFormat="1" x14ac:dyDescent="0.2"/>
    <row r="319" s="132" customFormat="1" x14ac:dyDescent="0.2"/>
    <row r="320" s="132" customFormat="1" x14ac:dyDescent="0.2"/>
    <row r="321" s="132" customFormat="1" x14ac:dyDescent="0.2"/>
    <row r="322" s="132" customFormat="1" x14ac:dyDescent="0.2"/>
    <row r="323" s="132" customFormat="1" x14ac:dyDescent="0.2"/>
    <row r="324" s="132" customFormat="1" x14ac:dyDescent="0.2"/>
    <row r="325" s="132" customFormat="1" x14ac:dyDescent="0.2"/>
    <row r="326" s="132" customFormat="1" x14ac:dyDescent="0.2"/>
    <row r="327" s="132" customFormat="1" x14ac:dyDescent="0.2"/>
    <row r="328" s="132" customFormat="1" x14ac:dyDescent="0.2"/>
    <row r="329" s="132" customFormat="1" x14ac:dyDescent="0.2"/>
    <row r="330" s="132" customFormat="1" x14ac:dyDescent="0.2"/>
    <row r="331" s="132" customFormat="1" x14ac:dyDescent="0.2"/>
    <row r="332" s="132" customFormat="1" x14ac:dyDescent="0.2"/>
    <row r="333" s="132" customFormat="1" x14ac:dyDescent="0.2"/>
    <row r="334" s="132" customFormat="1" x14ac:dyDescent="0.2"/>
    <row r="335" s="132" customFormat="1" x14ac:dyDescent="0.2"/>
    <row r="336" s="132" customFormat="1" x14ac:dyDescent="0.2"/>
    <row r="337" s="132" customFormat="1" x14ac:dyDescent="0.2"/>
    <row r="338" s="132" customFormat="1" x14ac:dyDescent="0.2"/>
    <row r="339" s="132" customFormat="1" x14ac:dyDescent="0.2"/>
    <row r="340" s="132" customFormat="1" x14ac:dyDescent="0.2"/>
    <row r="341" s="132" customFormat="1" x14ac:dyDescent="0.2"/>
    <row r="342" s="132" customFormat="1" x14ac:dyDescent="0.2"/>
    <row r="343" s="132" customFormat="1" x14ac:dyDescent="0.2"/>
    <row r="344" s="132" customFormat="1" x14ac:dyDescent="0.2"/>
    <row r="345" s="132" customFormat="1" x14ac:dyDescent="0.2"/>
    <row r="346" s="132" customFormat="1" x14ac:dyDescent="0.2"/>
    <row r="347" s="132" customFormat="1" x14ac:dyDescent="0.2"/>
    <row r="348" s="132" customFormat="1" x14ac:dyDescent="0.2"/>
    <row r="349" s="132" customFormat="1" x14ac:dyDescent="0.2"/>
    <row r="350" s="132" customFormat="1" x14ac:dyDescent="0.2"/>
    <row r="351" s="132" customFormat="1" x14ac:dyDescent="0.2"/>
    <row r="352" s="132" customFormat="1" x14ac:dyDescent="0.2"/>
    <row r="353" s="132" customFormat="1" x14ac:dyDescent="0.2"/>
    <row r="354" s="132" customFormat="1" x14ac:dyDescent="0.2"/>
    <row r="355" s="132" customFormat="1" x14ac:dyDescent="0.2"/>
    <row r="356" s="132" customFormat="1" x14ac:dyDescent="0.2"/>
    <row r="357" s="132" customFormat="1" x14ac:dyDescent="0.2"/>
    <row r="358" s="132" customFormat="1" x14ac:dyDescent="0.2"/>
    <row r="359" s="132" customFormat="1" x14ac:dyDescent="0.2"/>
    <row r="360" s="132" customFormat="1" x14ac:dyDescent="0.2"/>
    <row r="361" s="132" customFormat="1" x14ac:dyDescent="0.2"/>
    <row r="362" s="132" customFormat="1" x14ac:dyDescent="0.2"/>
    <row r="363" s="132" customFormat="1" x14ac:dyDescent="0.2"/>
    <row r="364" s="132" customFormat="1" x14ac:dyDescent="0.2"/>
    <row r="365" s="132" customFormat="1" x14ac:dyDescent="0.2"/>
    <row r="366" s="132" customFormat="1" x14ac:dyDescent="0.2"/>
    <row r="367" s="132" customFormat="1" x14ac:dyDescent="0.2"/>
    <row r="368" s="132" customFormat="1" x14ac:dyDescent="0.2"/>
    <row r="369" s="132" customFormat="1" x14ac:dyDescent="0.2"/>
    <row r="370" s="132" customFormat="1" x14ac:dyDescent="0.2"/>
    <row r="371" s="132" customFormat="1" x14ac:dyDescent="0.2"/>
    <row r="372" s="132" customFormat="1" x14ac:dyDescent="0.2"/>
    <row r="373" s="132" customFormat="1" x14ac:dyDescent="0.2"/>
    <row r="374" s="132" customFormat="1" x14ac:dyDescent="0.2"/>
    <row r="375" s="132" customFormat="1" x14ac:dyDescent="0.2"/>
    <row r="376" s="132" customFormat="1" x14ac:dyDescent="0.2"/>
    <row r="377" s="132" customFormat="1" x14ac:dyDescent="0.2"/>
    <row r="378" s="132" customFormat="1" x14ac:dyDescent="0.2"/>
    <row r="379" s="132" customFormat="1" x14ac:dyDescent="0.2"/>
    <row r="380" s="132" customFormat="1" x14ac:dyDescent="0.2"/>
    <row r="381" s="132" customFormat="1" x14ac:dyDescent="0.2"/>
    <row r="382" s="132" customFormat="1" x14ac:dyDescent="0.2"/>
    <row r="383" s="132" customFormat="1" x14ac:dyDescent="0.2"/>
    <row r="384" s="132" customFormat="1" x14ac:dyDescent="0.2"/>
    <row r="385" s="132" customFormat="1" x14ac:dyDescent="0.2"/>
    <row r="386" s="132" customFormat="1" x14ac:dyDescent="0.2"/>
    <row r="387" s="132" customFormat="1" x14ac:dyDescent="0.2"/>
    <row r="388" s="132" customFormat="1" x14ac:dyDescent="0.2"/>
    <row r="389" s="132" customFormat="1" x14ac:dyDescent="0.2"/>
    <row r="390" s="132" customFormat="1" x14ac:dyDescent="0.2"/>
    <row r="391" s="132" customFormat="1" x14ac:dyDescent="0.2"/>
    <row r="392" s="132" customFormat="1" x14ac:dyDescent="0.2"/>
    <row r="393" s="132" customFormat="1" x14ac:dyDescent="0.2"/>
    <row r="394" s="132" customFormat="1" x14ac:dyDescent="0.2"/>
    <row r="395" s="132" customFormat="1" x14ac:dyDescent="0.2"/>
    <row r="396" s="132" customFormat="1" x14ac:dyDescent="0.2"/>
    <row r="397" s="132" customFormat="1" x14ac:dyDescent="0.2"/>
    <row r="398" s="132" customFormat="1" x14ac:dyDescent="0.2"/>
    <row r="399" s="132" customFormat="1" x14ac:dyDescent="0.2"/>
    <row r="400" s="132" customFormat="1" x14ac:dyDescent="0.2"/>
    <row r="401" s="132" customFormat="1" x14ac:dyDescent="0.2"/>
    <row r="402" s="132" customFormat="1" x14ac:dyDescent="0.2"/>
    <row r="403" s="132" customFormat="1" x14ac:dyDescent="0.2"/>
    <row r="404" s="132" customFormat="1" x14ac:dyDescent="0.2"/>
    <row r="405" s="132" customFormat="1" x14ac:dyDescent="0.2"/>
    <row r="406" s="132" customFormat="1" x14ac:dyDescent="0.2"/>
    <row r="407" s="132" customFormat="1" x14ac:dyDescent="0.2"/>
    <row r="408" s="132" customFormat="1" x14ac:dyDescent="0.2"/>
    <row r="409" s="132" customFormat="1" x14ac:dyDescent="0.2"/>
    <row r="410" s="132" customFormat="1" x14ac:dyDescent="0.2"/>
    <row r="411" s="132" customFormat="1" x14ac:dyDescent="0.2"/>
    <row r="412" s="132" customFormat="1" x14ac:dyDescent="0.2"/>
    <row r="413" s="132" customFormat="1" x14ac:dyDescent="0.2"/>
    <row r="414" s="132" customFormat="1" x14ac:dyDescent="0.2"/>
    <row r="415" s="132" customFormat="1" x14ac:dyDescent="0.2"/>
    <row r="416" s="132" customFormat="1" x14ac:dyDescent="0.2"/>
    <row r="417" s="132" customFormat="1" x14ac:dyDescent="0.2"/>
    <row r="418" s="132" customFormat="1" x14ac:dyDescent="0.2"/>
    <row r="419" s="132" customFormat="1" x14ac:dyDescent="0.2"/>
    <row r="420" s="132" customFormat="1" x14ac:dyDescent="0.2"/>
    <row r="421" s="132" customFormat="1" x14ac:dyDescent="0.2"/>
    <row r="422" s="132" customFormat="1" x14ac:dyDescent="0.2"/>
    <row r="423" s="132" customFormat="1" x14ac:dyDescent="0.2"/>
    <row r="424" s="132" customFormat="1" x14ac:dyDescent="0.2"/>
    <row r="425" s="132" customFormat="1" x14ac:dyDescent="0.2"/>
    <row r="426" s="132" customFormat="1" x14ac:dyDescent="0.2"/>
    <row r="427" s="132" customFormat="1" x14ac:dyDescent="0.2"/>
    <row r="428" s="132" customFormat="1" x14ac:dyDescent="0.2"/>
    <row r="429" s="132" customFormat="1" x14ac:dyDescent="0.2"/>
    <row r="430" s="132" customFormat="1" x14ac:dyDescent="0.2"/>
    <row r="431" s="132" customFormat="1" x14ac:dyDescent="0.2"/>
    <row r="432" s="132" customFormat="1" x14ac:dyDescent="0.2"/>
    <row r="433" s="132" customFormat="1" x14ac:dyDescent="0.2"/>
    <row r="434" s="132" customFormat="1" x14ac:dyDescent="0.2"/>
    <row r="435" s="132" customFormat="1" x14ac:dyDescent="0.2"/>
    <row r="436" s="132" customFormat="1" x14ac:dyDescent="0.2"/>
    <row r="437" s="132" customFormat="1" x14ac:dyDescent="0.2"/>
    <row r="438" s="132" customFormat="1" x14ac:dyDescent="0.2"/>
    <row r="439" s="132" customFormat="1" x14ac:dyDescent="0.2"/>
    <row r="440" s="132" customFormat="1" x14ac:dyDescent="0.2"/>
    <row r="441" s="132" customFormat="1" x14ac:dyDescent="0.2"/>
    <row r="442" s="132" customFormat="1" x14ac:dyDescent="0.2"/>
    <row r="443" s="132" customFormat="1" x14ac:dyDescent="0.2"/>
    <row r="444" s="132" customFormat="1" x14ac:dyDescent="0.2"/>
    <row r="445" s="132" customFormat="1" x14ac:dyDescent="0.2"/>
    <row r="446" s="132" customFormat="1" x14ac:dyDescent="0.2"/>
    <row r="447" s="132" customFormat="1" x14ac:dyDescent="0.2"/>
    <row r="448" s="132" customFormat="1" x14ac:dyDescent="0.2"/>
    <row r="449" s="132" customFormat="1" x14ac:dyDescent="0.2"/>
    <row r="450" s="132" customFormat="1" x14ac:dyDescent="0.2"/>
    <row r="451" s="132" customFormat="1" x14ac:dyDescent="0.2"/>
    <row r="452" s="132" customFormat="1" x14ac:dyDescent="0.2"/>
    <row r="453" s="132" customFormat="1" x14ac:dyDescent="0.2"/>
    <row r="454" s="132" customFormat="1" x14ac:dyDescent="0.2"/>
    <row r="455" s="132" customFormat="1" x14ac:dyDescent="0.2"/>
    <row r="456" s="132" customFormat="1" x14ac:dyDescent="0.2"/>
    <row r="457" s="132" customFormat="1" x14ac:dyDescent="0.2"/>
    <row r="458" s="132" customFormat="1" x14ac:dyDescent="0.2"/>
    <row r="459" s="132" customFormat="1" x14ac:dyDescent="0.2"/>
    <row r="460" s="132" customFormat="1" x14ac:dyDescent="0.2"/>
    <row r="461" s="132" customFormat="1" x14ac:dyDescent="0.2"/>
    <row r="462" s="132" customFormat="1" x14ac:dyDescent="0.2"/>
    <row r="463" s="132" customFormat="1" x14ac:dyDescent="0.2"/>
    <row r="464" s="132" customFormat="1" x14ac:dyDescent="0.2"/>
    <row r="465" s="132" customFormat="1" x14ac:dyDescent="0.2"/>
    <row r="466" s="132" customFormat="1" x14ac:dyDescent="0.2"/>
    <row r="467" s="132" customFormat="1" x14ac:dyDescent="0.2"/>
    <row r="468" s="132" customFormat="1" x14ac:dyDescent="0.2"/>
    <row r="469" s="132" customFormat="1" x14ac:dyDescent="0.2"/>
    <row r="470" s="132" customFormat="1" x14ac:dyDescent="0.2"/>
    <row r="471" s="132" customFormat="1" x14ac:dyDescent="0.2"/>
    <row r="472" s="132" customFormat="1" x14ac:dyDescent="0.2"/>
    <row r="473" s="132" customFormat="1" x14ac:dyDescent="0.2"/>
    <row r="474" s="132" customFormat="1" x14ac:dyDescent="0.2"/>
    <row r="475" s="132" customFormat="1" x14ac:dyDescent="0.2"/>
    <row r="476" s="132" customFormat="1" x14ac:dyDescent="0.2"/>
    <row r="477" s="132" customFormat="1" x14ac:dyDescent="0.2"/>
    <row r="478" s="132" customFormat="1" x14ac:dyDescent="0.2"/>
    <row r="479" s="132" customFormat="1" x14ac:dyDescent="0.2"/>
    <row r="480" s="132" customFormat="1" x14ac:dyDescent="0.2"/>
    <row r="481" s="132" customFormat="1" x14ac:dyDescent="0.2"/>
    <row r="482" s="132" customFormat="1" x14ac:dyDescent="0.2"/>
    <row r="483" s="132" customFormat="1" x14ac:dyDescent="0.2"/>
    <row r="484" s="132" customFormat="1" x14ac:dyDescent="0.2"/>
    <row r="485" s="132" customFormat="1" x14ac:dyDescent="0.2"/>
    <row r="486" s="132" customFormat="1" x14ac:dyDescent="0.2"/>
    <row r="487" s="132" customFormat="1" x14ac:dyDescent="0.2"/>
    <row r="488" s="132" customFormat="1" x14ac:dyDescent="0.2"/>
    <row r="489" s="132" customFormat="1" x14ac:dyDescent="0.2"/>
    <row r="490" s="132" customFormat="1" x14ac:dyDescent="0.2"/>
    <row r="491" s="132" customFormat="1" x14ac:dyDescent="0.2"/>
    <row r="492" s="132" customFormat="1" x14ac:dyDescent="0.2"/>
    <row r="493" s="132" customFormat="1" x14ac:dyDescent="0.2"/>
    <row r="494" s="132" customFormat="1" x14ac:dyDescent="0.2"/>
    <row r="495" s="132" customFormat="1" x14ac:dyDescent="0.2"/>
    <row r="496" s="132" customFormat="1" x14ac:dyDescent="0.2"/>
    <row r="497" s="132" customFormat="1" x14ac:dyDescent="0.2"/>
    <row r="498" s="132" customFormat="1" x14ac:dyDescent="0.2"/>
    <row r="499" s="132" customFormat="1" x14ac:dyDescent="0.2"/>
    <row r="500" s="132" customFormat="1" x14ac:dyDescent="0.2"/>
    <row r="501" s="132" customFormat="1" x14ac:dyDescent="0.2"/>
    <row r="502" s="132" customFormat="1" x14ac:dyDescent="0.2"/>
    <row r="503" s="132" customFormat="1" x14ac:dyDescent="0.2"/>
    <row r="504" s="132" customFormat="1" x14ac:dyDescent="0.2"/>
    <row r="505" s="132" customFormat="1" x14ac:dyDescent="0.2"/>
    <row r="506" s="132" customFormat="1" x14ac:dyDescent="0.2"/>
    <row r="507" s="132" customFormat="1" x14ac:dyDescent="0.2"/>
    <row r="508" s="132" customFormat="1" x14ac:dyDescent="0.2"/>
    <row r="509" s="132" customFormat="1" x14ac:dyDescent="0.2"/>
    <row r="510" s="132" customFormat="1" x14ac:dyDescent="0.2"/>
    <row r="511" s="132" customFormat="1" x14ac:dyDescent="0.2"/>
    <row r="512" s="132" customFormat="1" x14ac:dyDescent="0.2"/>
    <row r="513" s="132" customFormat="1" x14ac:dyDescent="0.2"/>
    <row r="514" s="132" customFormat="1" x14ac:dyDescent="0.2"/>
    <row r="515" s="132" customFormat="1" x14ac:dyDescent="0.2"/>
    <row r="516" s="132" customFormat="1" x14ac:dyDescent="0.2"/>
    <row r="517" s="132" customFormat="1" x14ac:dyDescent="0.2"/>
    <row r="518" s="132" customFormat="1" x14ac:dyDescent="0.2"/>
    <row r="519" s="132" customFormat="1" x14ac:dyDescent="0.2"/>
    <row r="520" s="132" customFormat="1" x14ac:dyDescent="0.2"/>
    <row r="521" s="132" customFormat="1" x14ac:dyDescent="0.2"/>
    <row r="522" s="132" customFormat="1" x14ac:dyDescent="0.2"/>
    <row r="523" s="132" customFormat="1" x14ac:dyDescent="0.2"/>
    <row r="524" s="132" customFormat="1" x14ac:dyDescent="0.2"/>
    <row r="525" s="132" customFormat="1" x14ac:dyDescent="0.2"/>
    <row r="526" s="132" customFormat="1" x14ac:dyDescent="0.2"/>
    <row r="527" s="132" customFormat="1" x14ac:dyDescent="0.2"/>
    <row r="528" s="132" customFormat="1" x14ac:dyDescent="0.2"/>
    <row r="529" s="132" customFormat="1" x14ac:dyDescent="0.2"/>
    <row r="530" s="132" customFormat="1" x14ac:dyDescent="0.2"/>
    <row r="531" s="132" customFormat="1" x14ac:dyDescent="0.2"/>
    <row r="532" s="132" customFormat="1" x14ac:dyDescent="0.2"/>
    <row r="533" s="132" customFormat="1" x14ac:dyDescent="0.2"/>
    <row r="534" s="132" customFormat="1" x14ac:dyDescent="0.2"/>
    <row r="535" s="132" customFormat="1" x14ac:dyDescent="0.2"/>
    <row r="536" s="132" customFormat="1" x14ac:dyDescent="0.2"/>
    <row r="537" s="132" customFormat="1" x14ac:dyDescent="0.2"/>
    <row r="538" s="132" customFormat="1" x14ac:dyDescent="0.2"/>
    <row r="539" s="132" customFormat="1" x14ac:dyDescent="0.2"/>
    <row r="540" s="132" customFormat="1" x14ac:dyDescent="0.2"/>
    <row r="541" s="132" customFormat="1" x14ac:dyDescent="0.2"/>
    <row r="542" s="132" customFormat="1" x14ac:dyDescent="0.2"/>
    <row r="543" s="132" customFormat="1" x14ac:dyDescent="0.2"/>
    <row r="544" s="132" customFormat="1" x14ac:dyDescent="0.2"/>
    <row r="545" s="132" customFormat="1" x14ac:dyDescent="0.2"/>
    <row r="546" s="132" customFormat="1" x14ac:dyDescent="0.2"/>
    <row r="547" s="132" customFormat="1" x14ac:dyDescent="0.2"/>
    <row r="548" s="132" customFormat="1" x14ac:dyDescent="0.2"/>
    <row r="549" s="132" customFormat="1" x14ac:dyDescent="0.2"/>
    <row r="550" s="132" customFormat="1" x14ac:dyDescent="0.2"/>
    <row r="551" s="132" customFormat="1" x14ac:dyDescent="0.2"/>
    <row r="552" s="132" customFormat="1" x14ac:dyDescent="0.2"/>
    <row r="553" s="132" customFormat="1" x14ac:dyDescent="0.2"/>
    <row r="554" s="132" customFormat="1" x14ac:dyDescent="0.2"/>
    <row r="555" s="132" customFormat="1" x14ac:dyDescent="0.2"/>
    <row r="556" s="132" customFormat="1" x14ac:dyDescent="0.2"/>
    <row r="557" s="132" customFormat="1" x14ac:dyDescent="0.2"/>
    <row r="558" s="132" customFormat="1" x14ac:dyDescent="0.2"/>
    <row r="559" s="132" customFormat="1" x14ac:dyDescent="0.2"/>
    <row r="560" s="132" customFormat="1" x14ac:dyDescent="0.2"/>
    <row r="561" s="132" customFormat="1" x14ac:dyDescent="0.2"/>
    <row r="562" s="132" customFormat="1" x14ac:dyDescent="0.2"/>
    <row r="563" s="132" customFormat="1" x14ac:dyDescent="0.2"/>
    <row r="564" s="132" customFormat="1" x14ac:dyDescent="0.2"/>
    <row r="565" s="132" customFormat="1" x14ac:dyDescent="0.2"/>
    <row r="566" s="132" customFormat="1" x14ac:dyDescent="0.2"/>
    <row r="567" s="132" customFormat="1" x14ac:dyDescent="0.2"/>
    <row r="568" s="132" customFormat="1" x14ac:dyDescent="0.2"/>
    <row r="569" s="132" customFormat="1" x14ac:dyDescent="0.2"/>
    <row r="570" s="132" customFormat="1" x14ac:dyDescent="0.2"/>
    <row r="571" s="132" customFormat="1" x14ac:dyDescent="0.2"/>
    <row r="572" s="132" customFormat="1" x14ac:dyDescent="0.2"/>
    <row r="573" s="132" customFormat="1" x14ac:dyDescent="0.2"/>
    <row r="574" s="132" customFormat="1" x14ac:dyDescent="0.2"/>
    <row r="575" s="132" customFormat="1" x14ac:dyDescent="0.2"/>
    <row r="576" s="132" customFormat="1" x14ac:dyDescent="0.2"/>
    <row r="577" s="132" customFormat="1" x14ac:dyDescent="0.2"/>
    <row r="578" s="132" customFormat="1" x14ac:dyDescent="0.2"/>
    <row r="579" s="132" customFormat="1" x14ac:dyDescent="0.2"/>
    <row r="580" s="132" customFormat="1" x14ac:dyDescent="0.2"/>
    <row r="581" s="132" customFormat="1" x14ac:dyDescent="0.2"/>
    <row r="582" s="132" customFormat="1" x14ac:dyDescent="0.2"/>
    <row r="583" s="132" customFormat="1" x14ac:dyDescent="0.2"/>
    <row r="584" s="132" customFormat="1" x14ac:dyDescent="0.2"/>
    <row r="585" s="132" customFormat="1" x14ac:dyDescent="0.2"/>
    <row r="586" s="132" customFormat="1" x14ac:dyDescent="0.2"/>
    <row r="587" s="132" customFormat="1" x14ac:dyDescent="0.2"/>
    <row r="588" s="132" customFormat="1" x14ac:dyDescent="0.2"/>
    <row r="589" s="132" customFormat="1" x14ac:dyDescent="0.2"/>
    <row r="590" s="132" customFormat="1" x14ac:dyDescent="0.2"/>
    <row r="591" s="132" customFormat="1" x14ac:dyDescent="0.2"/>
    <row r="592" s="132" customFormat="1" x14ac:dyDescent="0.2"/>
    <row r="593" s="132" customFormat="1" x14ac:dyDescent="0.2"/>
    <row r="594" s="132" customFormat="1" x14ac:dyDescent="0.2"/>
    <row r="595" s="132" customFormat="1" x14ac:dyDescent="0.2"/>
    <row r="596" s="132" customFormat="1" x14ac:dyDescent="0.2"/>
    <row r="597" s="132" customFormat="1" x14ac:dyDescent="0.2"/>
    <row r="598" s="132" customFormat="1" x14ac:dyDescent="0.2"/>
    <row r="599" s="132" customFormat="1" x14ac:dyDescent="0.2"/>
    <row r="600" s="132" customFormat="1" x14ac:dyDescent="0.2"/>
    <row r="601" s="132" customFormat="1" x14ac:dyDescent="0.2"/>
    <row r="602" s="132" customFormat="1" x14ac:dyDescent="0.2"/>
    <row r="603" s="132" customFormat="1" x14ac:dyDescent="0.2"/>
    <row r="604" s="132" customFormat="1" x14ac:dyDescent="0.2"/>
    <row r="605" s="132" customFormat="1" x14ac:dyDescent="0.2"/>
    <row r="606" s="132" customFormat="1" x14ac:dyDescent="0.2"/>
    <row r="607" s="132" customFormat="1" x14ac:dyDescent="0.2"/>
    <row r="608" s="132" customFormat="1" x14ac:dyDescent="0.2"/>
    <row r="609" s="132" customFormat="1" x14ac:dyDescent="0.2"/>
    <row r="610" s="132" customFormat="1" x14ac:dyDescent="0.2"/>
    <row r="611" s="132" customFormat="1" x14ac:dyDescent="0.2"/>
    <row r="612" s="132" customFormat="1" x14ac:dyDescent="0.2"/>
    <row r="613" s="132" customFormat="1" x14ac:dyDescent="0.2"/>
    <row r="614" s="132" customFormat="1" x14ac:dyDescent="0.2"/>
    <row r="615" s="132" customFormat="1" x14ac:dyDescent="0.2"/>
    <row r="616" s="132" customFormat="1" x14ac:dyDescent="0.2"/>
    <row r="617" s="132" customFormat="1" x14ac:dyDescent="0.2"/>
    <row r="618" s="132" customFormat="1" x14ac:dyDescent="0.2"/>
    <row r="619" s="132" customFormat="1" x14ac:dyDescent="0.2"/>
    <row r="620" s="132" customFormat="1" x14ac:dyDescent="0.2"/>
    <row r="621" s="132" customFormat="1" x14ac:dyDescent="0.2"/>
    <row r="622" s="132" customFormat="1" x14ac:dyDescent="0.2"/>
    <row r="623" s="132" customFormat="1" x14ac:dyDescent="0.2"/>
    <row r="624" s="132" customFormat="1" x14ac:dyDescent="0.2"/>
    <row r="625" s="132" customFormat="1" x14ac:dyDescent="0.2"/>
    <row r="626" s="132" customFormat="1" x14ac:dyDescent="0.2"/>
    <row r="627" s="132" customFormat="1" x14ac:dyDescent="0.2"/>
    <row r="628" s="132" customFormat="1" x14ac:dyDescent="0.2"/>
    <row r="629" s="132" customFormat="1" x14ac:dyDescent="0.2"/>
    <row r="630" s="132" customFormat="1" x14ac:dyDescent="0.2"/>
    <row r="631" s="132" customFormat="1" x14ac:dyDescent="0.2"/>
    <row r="632" s="132" customFormat="1" x14ac:dyDescent="0.2"/>
    <row r="633" s="132" customFormat="1" x14ac:dyDescent="0.2"/>
    <row r="634" s="132" customFormat="1" x14ac:dyDescent="0.2"/>
    <row r="635" s="132" customFormat="1" x14ac:dyDescent="0.2"/>
    <row r="636" s="132" customFormat="1" x14ac:dyDescent="0.2"/>
    <row r="637" s="132" customFormat="1" x14ac:dyDescent="0.2"/>
    <row r="638" s="132" customFormat="1" x14ac:dyDescent="0.2"/>
    <row r="639" s="132" customFormat="1" x14ac:dyDescent="0.2"/>
    <row r="640" s="132" customFormat="1" x14ac:dyDescent="0.2"/>
    <row r="641" s="132" customFormat="1" x14ac:dyDescent="0.2"/>
    <row r="642" s="132" customFormat="1" x14ac:dyDescent="0.2"/>
    <row r="643" s="132" customFormat="1" x14ac:dyDescent="0.2"/>
    <row r="644" s="132" customFormat="1" x14ac:dyDescent="0.2"/>
    <row r="645" s="132" customFormat="1" x14ac:dyDescent="0.2"/>
    <row r="646" s="132" customFormat="1" x14ac:dyDescent="0.2"/>
    <row r="647" s="132" customFormat="1" x14ac:dyDescent="0.2"/>
    <row r="648" s="132" customFormat="1" x14ac:dyDescent="0.2"/>
    <row r="649" s="132" customFormat="1" x14ac:dyDescent="0.2"/>
    <row r="650" s="132" customFormat="1" x14ac:dyDescent="0.2"/>
    <row r="651" s="132" customFormat="1" x14ac:dyDescent="0.2"/>
    <row r="652" s="132" customFormat="1" x14ac:dyDescent="0.2"/>
    <row r="653" s="132" customFormat="1" x14ac:dyDescent="0.2"/>
    <row r="654" s="132" customFormat="1" x14ac:dyDescent="0.2"/>
    <row r="655" s="132" customFormat="1" x14ac:dyDescent="0.2"/>
    <row r="656" s="132" customFormat="1" x14ac:dyDescent="0.2"/>
    <row r="657" s="132" customFormat="1" x14ac:dyDescent="0.2"/>
    <row r="658" s="132" customFormat="1" x14ac:dyDescent="0.2"/>
    <row r="659" s="132" customFormat="1" x14ac:dyDescent="0.2"/>
    <row r="660" s="132" customFormat="1" x14ac:dyDescent="0.2"/>
    <row r="661" s="132" customFormat="1" x14ac:dyDescent="0.2"/>
    <row r="662" s="132" customFormat="1" x14ac:dyDescent="0.2"/>
    <row r="663" s="132" customFormat="1" x14ac:dyDescent="0.2"/>
    <row r="664" s="132" customFormat="1" x14ac:dyDescent="0.2"/>
    <row r="665" s="132" customFormat="1" x14ac:dyDescent="0.2"/>
    <row r="666" s="132" customFormat="1" x14ac:dyDescent="0.2"/>
    <row r="667" s="132" customFormat="1" x14ac:dyDescent="0.2"/>
    <row r="668" s="132" customFormat="1" x14ac:dyDescent="0.2"/>
    <row r="669" s="132" customFormat="1" x14ac:dyDescent="0.2"/>
    <row r="670" s="132" customFormat="1" x14ac:dyDescent="0.2"/>
    <row r="671" s="132" customFormat="1" x14ac:dyDescent="0.2"/>
    <row r="672" s="132" customFormat="1" x14ac:dyDescent="0.2"/>
    <row r="673" s="132" customFormat="1" x14ac:dyDescent="0.2"/>
    <row r="674" s="132" customFormat="1" x14ac:dyDescent="0.2"/>
    <row r="675" s="132" customFormat="1" x14ac:dyDescent="0.2"/>
    <row r="676" s="132" customFormat="1" x14ac:dyDescent="0.2"/>
    <row r="677" s="132" customFormat="1" x14ac:dyDescent="0.2"/>
    <row r="678" s="132" customFormat="1" x14ac:dyDescent="0.2"/>
    <row r="679" s="132" customFormat="1" x14ac:dyDescent="0.2"/>
    <row r="680" s="132" customFormat="1" x14ac:dyDescent="0.2"/>
    <row r="681" s="132" customFormat="1" x14ac:dyDescent="0.2"/>
    <row r="682" s="132" customFormat="1" x14ac:dyDescent="0.2"/>
    <row r="683" s="132" customFormat="1" x14ac:dyDescent="0.2"/>
    <row r="684" s="132" customFormat="1" x14ac:dyDescent="0.2"/>
    <row r="685" s="132" customFormat="1" x14ac:dyDescent="0.2"/>
    <row r="686" s="132" customFormat="1" x14ac:dyDescent="0.2"/>
    <row r="687" s="132" customFormat="1" x14ac:dyDescent="0.2"/>
    <row r="688" s="132" customFormat="1" x14ac:dyDescent="0.2"/>
    <row r="689" s="132" customFormat="1" x14ac:dyDescent="0.2"/>
    <row r="690" s="132" customFormat="1" x14ac:dyDescent="0.2"/>
    <row r="691" s="132" customFormat="1" x14ac:dyDescent="0.2"/>
    <row r="692" s="132" customFormat="1" x14ac:dyDescent="0.2"/>
    <row r="693" s="132" customFormat="1" x14ac:dyDescent="0.2"/>
    <row r="694" s="132" customFormat="1" x14ac:dyDescent="0.2"/>
    <row r="695" s="132" customFormat="1" x14ac:dyDescent="0.2"/>
    <row r="696" s="132" customFormat="1" x14ac:dyDescent="0.2"/>
    <row r="697" s="132" customFormat="1" x14ac:dyDescent="0.2"/>
    <row r="698" s="132" customFormat="1" x14ac:dyDescent="0.2"/>
    <row r="699" s="132" customFormat="1" x14ac:dyDescent="0.2"/>
    <row r="700" s="132" customFormat="1" x14ac:dyDescent="0.2"/>
    <row r="701" s="132" customFormat="1" x14ac:dyDescent="0.2"/>
    <row r="702" s="132" customFormat="1" x14ac:dyDescent="0.2"/>
    <row r="703" s="132" customFormat="1" x14ac:dyDescent="0.2"/>
    <row r="704" s="132" customFormat="1" x14ac:dyDescent="0.2"/>
    <row r="705" s="132" customFormat="1" x14ac:dyDescent="0.2"/>
    <row r="706" s="132" customFormat="1" x14ac:dyDescent="0.2"/>
    <row r="707" s="132" customFormat="1" x14ac:dyDescent="0.2"/>
    <row r="708" s="132" customFormat="1" x14ac:dyDescent="0.2"/>
    <row r="709" s="132" customFormat="1" x14ac:dyDescent="0.2"/>
    <row r="710" s="132" customFormat="1" x14ac:dyDescent="0.2"/>
    <row r="711" s="132" customFormat="1" x14ac:dyDescent="0.2"/>
    <row r="712" s="132" customFormat="1" x14ac:dyDescent="0.2"/>
    <row r="713" s="132" customFormat="1" x14ac:dyDescent="0.2"/>
    <row r="714" s="132" customFormat="1" x14ac:dyDescent="0.2"/>
    <row r="715" s="132" customFormat="1" x14ac:dyDescent="0.2"/>
    <row r="716" s="132" customFormat="1" x14ac:dyDescent="0.2"/>
    <row r="717" s="132" customFormat="1" x14ac:dyDescent="0.2"/>
    <row r="718" s="132" customFormat="1" x14ac:dyDescent="0.2"/>
    <row r="719" s="132" customFormat="1" x14ac:dyDescent="0.2"/>
    <row r="720" s="132" customFormat="1" x14ac:dyDescent="0.2"/>
    <row r="721" s="132" customFormat="1" x14ac:dyDescent="0.2"/>
    <row r="722" s="132" customFormat="1" x14ac:dyDescent="0.2"/>
    <row r="723" s="132" customFormat="1" x14ac:dyDescent="0.2"/>
    <row r="724" s="132" customFormat="1" x14ac:dyDescent="0.2"/>
    <row r="725" s="132" customFormat="1" x14ac:dyDescent="0.2"/>
    <row r="726" s="132" customFormat="1" x14ac:dyDescent="0.2"/>
    <row r="727" s="132" customFormat="1" x14ac:dyDescent="0.2"/>
    <row r="728" s="132" customFormat="1" x14ac:dyDescent="0.2"/>
    <row r="729" s="132" customFormat="1" x14ac:dyDescent="0.2"/>
    <row r="730" s="132" customFormat="1" x14ac:dyDescent="0.2"/>
    <row r="731" s="132" customFormat="1" x14ac:dyDescent="0.2"/>
    <row r="732" s="132" customFormat="1" x14ac:dyDescent="0.2"/>
    <row r="733" s="132" customFormat="1" x14ac:dyDescent="0.2"/>
    <row r="734" s="132" customFormat="1" x14ac:dyDescent="0.2"/>
    <row r="735" s="132" customFormat="1" x14ac:dyDescent="0.2"/>
    <row r="736" s="132" customFormat="1" x14ac:dyDescent="0.2"/>
    <row r="737" s="132" customFormat="1" x14ac:dyDescent="0.2"/>
    <row r="738" s="132" customFormat="1" x14ac:dyDescent="0.2"/>
    <row r="739" s="132" customFormat="1" x14ac:dyDescent="0.2"/>
    <row r="740" s="132" customFormat="1" x14ac:dyDescent="0.2"/>
    <row r="741" s="132" customFormat="1" x14ac:dyDescent="0.2"/>
    <row r="742" s="132" customFormat="1" x14ac:dyDescent="0.2"/>
    <row r="743" s="132" customFormat="1" x14ac:dyDescent="0.2"/>
    <row r="744" s="132" customFormat="1" x14ac:dyDescent="0.2"/>
    <row r="745" s="132" customFormat="1" x14ac:dyDescent="0.2"/>
    <row r="746" s="132" customFormat="1" x14ac:dyDescent="0.2"/>
    <row r="747" s="132" customFormat="1" x14ac:dyDescent="0.2"/>
    <row r="748" s="132" customFormat="1" x14ac:dyDescent="0.2"/>
    <row r="749" s="132" customFormat="1" x14ac:dyDescent="0.2"/>
    <row r="750" s="132" customFormat="1" x14ac:dyDescent="0.2"/>
    <row r="751" s="132" customFormat="1" x14ac:dyDescent="0.2"/>
    <row r="752" s="132" customFormat="1" x14ac:dyDescent="0.2"/>
    <row r="753" s="132" customFormat="1" x14ac:dyDescent="0.2"/>
    <row r="754" s="132" customFormat="1" x14ac:dyDescent="0.2"/>
    <row r="755" s="132" customFormat="1" x14ac:dyDescent="0.2"/>
    <row r="756" s="132" customFormat="1" x14ac:dyDescent="0.2"/>
    <row r="757" s="132" customFormat="1" x14ac:dyDescent="0.2"/>
    <row r="758" s="132" customFormat="1" x14ac:dyDescent="0.2"/>
    <row r="759" s="132" customFormat="1" x14ac:dyDescent="0.2"/>
    <row r="760" s="132" customFormat="1" x14ac:dyDescent="0.2"/>
    <row r="761" s="132" customFormat="1" x14ac:dyDescent="0.2"/>
    <row r="762" s="132" customFormat="1" x14ac:dyDescent="0.2"/>
    <row r="763" s="132" customFormat="1" x14ac:dyDescent="0.2"/>
    <row r="764" s="132" customFormat="1" x14ac:dyDescent="0.2"/>
    <row r="765" s="132" customFormat="1" x14ac:dyDescent="0.2"/>
    <row r="766" s="132" customFormat="1" x14ac:dyDescent="0.2"/>
    <row r="767" s="132" customFormat="1" x14ac:dyDescent="0.2"/>
    <row r="768" s="132" customFormat="1" x14ac:dyDescent="0.2"/>
    <row r="769" s="132" customFormat="1" x14ac:dyDescent="0.2"/>
    <row r="770" s="132" customFormat="1" x14ac:dyDescent="0.2"/>
    <row r="771" s="132" customFormat="1" x14ac:dyDescent="0.2"/>
    <row r="772" s="132" customFormat="1" x14ac:dyDescent="0.2"/>
    <row r="773" s="132" customFormat="1" x14ac:dyDescent="0.2"/>
    <row r="774" s="132" customFormat="1" x14ac:dyDescent="0.2"/>
    <row r="775" s="132" customFormat="1" x14ac:dyDescent="0.2"/>
    <row r="776" s="132" customFormat="1" x14ac:dyDescent="0.2"/>
    <row r="777" s="132" customFormat="1" x14ac:dyDescent="0.2"/>
    <row r="778" s="132" customFormat="1" x14ac:dyDescent="0.2"/>
    <row r="779" s="132" customFormat="1" x14ac:dyDescent="0.2"/>
    <row r="780" s="132" customFormat="1" x14ac:dyDescent="0.2"/>
    <row r="781" s="132" customFormat="1" x14ac:dyDescent="0.2"/>
    <row r="782" s="132" customFormat="1" x14ac:dyDescent="0.2"/>
    <row r="783" s="132" customFormat="1" x14ac:dyDescent="0.2"/>
    <row r="784" s="132" customFormat="1" x14ac:dyDescent="0.2"/>
    <row r="785" s="132" customFormat="1" x14ac:dyDescent="0.2"/>
    <row r="786" s="132" customFormat="1" x14ac:dyDescent="0.2"/>
    <row r="787" s="132" customFormat="1" x14ac:dyDescent="0.2"/>
    <row r="788" s="132" customFormat="1" x14ac:dyDescent="0.2"/>
    <row r="789" s="132" customFormat="1" x14ac:dyDescent="0.2"/>
    <row r="790" s="132" customFormat="1" x14ac:dyDescent="0.2"/>
    <row r="791" s="132" customFormat="1" x14ac:dyDescent="0.2"/>
    <row r="792" s="132" customFormat="1" x14ac:dyDescent="0.2"/>
    <row r="793" s="132" customFormat="1" x14ac:dyDescent="0.2"/>
    <row r="794" s="132" customFormat="1" x14ac:dyDescent="0.2"/>
    <row r="795" s="132" customFormat="1" x14ac:dyDescent="0.2"/>
    <row r="796" s="132" customFormat="1" x14ac:dyDescent="0.2"/>
    <row r="797" s="132" customFormat="1" x14ac:dyDescent="0.2"/>
    <row r="798" s="132" customFormat="1" x14ac:dyDescent="0.2"/>
    <row r="799" s="132" customFormat="1" x14ac:dyDescent="0.2"/>
    <row r="800" s="132" customFormat="1" x14ac:dyDescent="0.2"/>
    <row r="801" s="132" customFormat="1" x14ac:dyDescent="0.2"/>
    <row r="802" s="132" customFormat="1" x14ac:dyDescent="0.2"/>
    <row r="803" s="132" customFormat="1" x14ac:dyDescent="0.2"/>
    <row r="804" s="132" customFormat="1" x14ac:dyDescent="0.2"/>
    <row r="805" s="132" customFormat="1" x14ac:dyDescent="0.2"/>
    <row r="806" s="132" customFormat="1" x14ac:dyDescent="0.2"/>
    <row r="807" s="132" customFormat="1" x14ac:dyDescent="0.2"/>
    <row r="808" s="132" customFormat="1" x14ac:dyDescent="0.2"/>
    <row r="809" s="132" customFormat="1" x14ac:dyDescent="0.2"/>
    <row r="810" s="132" customFormat="1" x14ac:dyDescent="0.2"/>
    <row r="811" s="132" customFormat="1" x14ac:dyDescent="0.2"/>
    <row r="812" s="132" customFormat="1" x14ac:dyDescent="0.2"/>
    <row r="813" s="132" customFormat="1" x14ac:dyDescent="0.2"/>
    <row r="814" s="132" customFormat="1" x14ac:dyDescent="0.2"/>
    <row r="815" s="132" customFormat="1" x14ac:dyDescent="0.2"/>
    <row r="816" s="132" customFormat="1" x14ac:dyDescent="0.2"/>
    <row r="817" spans="1:22" s="132" customFormat="1" x14ac:dyDescent="0.2"/>
    <row r="818" spans="1:22" s="132" customFormat="1" x14ac:dyDescent="0.2"/>
    <row r="819" spans="1:22" s="132" customFormat="1" x14ac:dyDescent="0.2"/>
    <row r="820" spans="1:22" s="132" customFormat="1" x14ac:dyDescent="0.2"/>
    <row r="821" spans="1:22" s="132" customFormat="1" x14ac:dyDescent="0.2">
      <c r="O821"/>
      <c r="P821"/>
    </row>
    <row r="822" spans="1:22" s="132" customFormat="1" x14ac:dyDescent="0.2">
      <c r="O822"/>
      <c r="P822"/>
    </row>
    <row r="823" spans="1:22" s="132" customFormat="1" x14ac:dyDescent="0.2">
      <c r="O823"/>
      <c r="P823"/>
    </row>
    <row r="824" spans="1:22" s="132" customFormat="1" x14ac:dyDescent="0.2">
      <c r="O824"/>
      <c r="P824"/>
    </row>
    <row r="825" spans="1:22" s="132" customFormat="1" x14ac:dyDescent="0.2">
      <c r="O825"/>
      <c r="P825"/>
    </row>
    <row r="826" spans="1:22" s="132" customFormat="1" x14ac:dyDescent="0.2">
      <c r="O826"/>
      <c r="P826"/>
    </row>
    <row r="827" spans="1:22" s="132" customFormat="1" x14ac:dyDescent="0.2">
      <c r="O827"/>
      <c r="P827"/>
    </row>
    <row r="828" spans="1:22" s="132" customFormat="1" x14ac:dyDescent="0.2">
      <c r="O828"/>
      <c r="P828"/>
    </row>
    <row r="829" spans="1:22" s="132" customFormat="1" x14ac:dyDescent="0.2">
      <c r="O829"/>
      <c r="P829"/>
      <c r="R829"/>
      <c r="S829"/>
      <c r="T829"/>
      <c r="U829"/>
      <c r="V829"/>
    </row>
    <row r="830" spans="1:22" s="132" customFormat="1" x14ac:dyDescent="0.2">
      <c r="O830"/>
      <c r="P830"/>
      <c r="Q830"/>
      <c r="R830"/>
      <c r="S830"/>
      <c r="T830"/>
      <c r="U830"/>
      <c r="V830"/>
    </row>
    <row r="831" spans="1:22" s="132" customFormat="1" x14ac:dyDescent="0.2">
      <c r="O831"/>
      <c r="P831"/>
      <c r="Q831"/>
      <c r="R831"/>
      <c r="S831"/>
      <c r="T831"/>
      <c r="U831"/>
      <c r="V831"/>
    </row>
    <row r="832" spans="1:22" s="132" customFormat="1" x14ac:dyDescent="0.2">
      <c r="A832"/>
      <c r="B832"/>
      <c r="C832"/>
      <c r="D832"/>
      <c r="E832"/>
      <c r="F832"/>
      <c r="G832"/>
      <c r="H832"/>
      <c r="I832"/>
      <c r="O832"/>
      <c r="P832"/>
      <c r="Q832"/>
      <c r="R832"/>
      <c r="S832"/>
      <c r="T832"/>
      <c r="U832"/>
      <c r="V832"/>
    </row>
    <row r="833" spans="1:22" s="132" customFormat="1" x14ac:dyDescent="0.2">
      <c r="A833"/>
      <c r="B833"/>
      <c r="C833"/>
      <c r="D833"/>
      <c r="E833"/>
      <c r="F833"/>
      <c r="G833"/>
      <c r="H833"/>
      <c r="I833"/>
      <c r="O833"/>
      <c r="P833"/>
      <c r="Q833"/>
      <c r="R833"/>
      <c r="S833"/>
      <c r="T833"/>
      <c r="U833"/>
      <c r="V833"/>
    </row>
    <row r="834" spans="1:22" s="132" customFormat="1" x14ac:dyDescent="0.2">
      <c r="A834"/>
      <c r="B834"/>
      <c r="C834"/>
      <c r="D834"/>
      <c r="E834"/>
      <c r="F834"/>
      <c r="G834"/>
      <c r="H834"/>
      <c r="I834"/>
      <c r="O834"/>
      <c r="P834"/>
      <c r="Q834"/>
      <c r="R834"/>
      <c r="S834"/>
      <c r="T834"/>
      <c r="U834"/>
      <c r="V834"/>
    </row>
    <row r="835" spans="1:22" s="132" customFormat="1" x14ac:dyDescent="0.2">
      <c r="A835"/>
      <c r="B835"/>
      <c r="C835"/>
      <c r="D835"/>
      <c r="E835"/>
      <c r="F835"/>
      <c r="G835"/>
      <c r="H835"/>
      <c r="I835"/>
      <c r="O835"/>
      <c r="P835"/>
      <c r="Q835"/>
      <c r="R835"/>
      <c r="S835"/>
      <c r="T835"/>
      <c r="U835"/>
      <c r="V835"/>
    </row>
    <row r="836" spans="1:22" s="132" customFormat="1" x14ac:dyDescent="0.2">
      <c r="A836"/>
      <c r="B836"/>
      <c r="C836"/>
      <c r="D836"/>
      <c r="E836"/>
      <c r="F836"/>
      <c r="G836"/>
      <c r="H836"/>
      <c r="I836"/>
      <c r="O836"/>
      <c r="P836"/>
      <c r="Q836"/>
      <c r="R836"/>
      <c r="S836"/>
      <c r="T836"/>
      <c r="U836"/>
      <c r="V836"/>
    </row>
    <row r="837" spans="1:22" s="132" customFormat="1" x14ac:dyDescent="0.2">
      <c r="A837"/>
      <c r="B837"/>
      <c r="C837"/>
      <c r="D837"/>
      <c r="E837"/>
      <c r="F837"/>
      <c r="G837"/>
      <c r="H837"/>
      <c r="I837"/>
      <c r="O837"/>
      <c r="P837"/>
      <c r="Q837"/>
      <c r="R837"/>
      <c r="S837"/>
      <c r="T837"/>
      <c r="U837"/>
      <c r="V837"/>
    </row>
    <row r="838" spans="1:22" s="132" customFormat="1" x14ac:dyDescent="0.2">
      <c r="A838"/>
      <c r="B838"/>
      <c r="C838"/>
      <c r="D838"/>
      <c r="E838"/>
      <c r="F838"/>
      <c r="G838"/>
      <c r="H838"/>
      <c r="I838"/>
      <c r="O838"/>
      <c r="P838"/>
      <c r="Q838"/>
      <c r="R838"/>
      <c r="S838"/>
      <c r="T838"/>
      <c r="U838"/>
      <c r="V838"/>
    </row>
    <row r="839" spans="1:22" s="132" customFormat="1" x14ac:dyDescent="0.2">
      <c r="A839"/>
      <c r="B839"/>
      <c r="C839"/>
      <c r="D839"/>
      <c r="E839"/>
      <c r="F839"/>
      <c r="G839"/>
      <c r="H839"/>
      <c r="I839"/>
      <c r="O839"/>
      <c r="P839"/>
      <c r="Q839"/>
      <c r="R839"/>
      <c r="S839"/>
      <c r="T839"/>
      <c r="U839"/>
      <c r="V839"/>
    </row>
    <row r="840" spans="1:22" s="132" customFormat="1" x14ac:dyDescent="0.2">
      <c r="A840"/>
      <c r="B840"/>
      <c r="C840"/>
      <c r="D840"/>
      <c r="E840"/>
      <c r="F840"/>
      <c r="G840"/>
      <c r="H840"/>
      <c r="I840"/>
      <c r="O840"/>
      <c r="P840"/>
      <c r="Q840"/>
      <c r="R840"/>
      <c r="S840"/>
      <c r="T840"/>
      <c r="U840"/>
      <c r="V840"/>
    </row>
    <row r="841" spans="1:22" s="132" customFormat="1" x14ac:dyDescent="0.2">
      <c r="A841"/>
      <c r="B841"/>
      <c r="C841"/>
      <c r="D841"/>
      <c r="E841"/>
      <c r="F841"/>
      <c r="G841"/>
      <c r="H841"/>
      <c r="I841"/>
      <c r="O841"/>
      <c r="P841"/>
      <c r="Q841"/>
      <c r="R841"/>
      <c r="S841"/>
      <c r="T841"/>
      <c r="U841"/>
      <c r="V841"/>
    </row>
    <row r="842" spans="1:22" s="132" customFormat="1" x14ac:dyDescent="0.2">
      <c r="A842"/>
      <c r="B842"/>
      <c r="C842"/>
      <c r="D842"/>
      <c r="E842"/>
      <c r="F842"/>
      <c r="G842"/>
      <c r="H842"/>
      <c r="I842"/>
      <c r="O842"/>
      <c r="P842"/>
      <c r="Q842"/>
      <c r="R842"/>
      <c r="S842"/>
      <c r="T842"/>
      <c r="U842"/>
      <c r="V842"/>
    </row>
    <row r="843" spans="1:22" s="132" customFormat="1" x14ac:dyDescent="0.2">
      <c r="A843"/>
      <c r="B843"/>
      <c r="C843"/>
      <c r="D843"/>
      <c r="E843"/>
      <c r="F843"/>
      <c r="G843"/>
      <c r="H843"/>
      <c r="I843"/>
      <c r="O843"/>
      <c r="P843"/>
      <c r="Q843"/>
      <c r="R843"/>
      <c r="S843"/>
      <c r="T843"/>
      <c r="U843"/>
      <c r="V843"/>
    </row>
    <row r="844" spans="1:22" s="132" customFormat="1" x14ac:dyDescent="0.2">
      <c r="A844"/>
      <c r="B844"/>
      <c r="C844"/>
      <c r="D844"/>
      <c r="E844"/>
      <c r="F844"/>
      <c r="G844"/>
      <c r="H844"/>
      <c r="I844"/>
      <c r="O844"/>
      <c r="P844"/>
      <c r="Q844"/>
      <c r="R844"/>
      <c r="S844"/>
      <c r="T844"/>
      <c r="U844"/>
      <c r="V844"/>
    </row>
    <row r="845" spans="1:22" s="132" customFormat="1" x14ac:dyDescent="0.2">
      <c r="A845"/>
      <c r="B845"/>
      <c r="C845"/>
      <c r="D845"/>
      <c r="E845"/>
      <c r="F845"/>
      <c r="G845"/>
      <c r="H845"/>
      <c r="I845"/>
      <c r="O845"/>
      <c r="P845"/>
      <c r="Q845"/>
      <c r="R845"/>
      <c r="S845"/>
      <c r="T845"/>
      <c r="U845"/>
      <c r="V845"/>
    </row>
    <row r="846" spans="1:22" s="132" customFormat="1" x14ac:dyDescent="0.2">
      <c r="A846"/>
      <c r="B846"/>
      <c r="C846"/>
      <c r="D846"/>
      <c r="E846"/>
      <c r="F846"/>
      <c r="G846"/>
      <c r="H846"/>
      <c r="I846"/>
      <c r="O846"/>
      <c r="P846"/>
      <c r="Q846"/>
      <c r="R846"/>
      <c r="S846"/>
      <c r="T846"/>
      <c r="U846"/>
      <c r="V846"/>
    </row>
    <row r="847" spans="1:22" s="132" customFormat="1" x14ac:dyDescent="0.2">
      <c r="A847"/>
      <c r="B847"/>
      <c r="C847"/>
      <c r="D847"/>
      <c r="E847"/>
      <c r="F847"/>
      <c r="G847"/>
      <c r="H847"/>
      <c r="I847"/>
      <c r="O847"/>
      <c r="P847"/>
      <c r="Q847"/>
      <c r="R847"/>
      <c r="S847"/>
      <c r="T847"/>
      <c r="U847"/>
      <c r="V847"/>
    </row>
  </sheetData>
  <mergeCells count="4">
    <mergeCell ref="C43:C48"/>
    <mergeCell ref="E3:G3"/>
    <mergeCell ref="H3:L3"/>
    <mergeCell ref="D42:I42"/>
  </mergeCells>
  <pageMargins left="0.7" right="0.7" top="0.75" bottom="0.75" header="0.3" footer="0.3"/>
  <pageSetup scale="6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3E5D-DE09-4463-8547-A7A406C9BA6F}">
  <dimension ref="A1:AQ38"/>
  <sheetViews>
    <sheetView showGridLines="0" workbookViewId="0">
      <selection activeCell="C12" sqref="C12"/>
    </sheetView>
  </sheetViews>
  <sheetFormatPr defaultRowHeight="12.75" x14ac:dyDescent="0.2"/>
  <cols>
    <col min="1" max="1" width="1.7109375" customWidth="1"/>
    <col min="2" max="2" width="30.5703125" customWidth="1"/>
    <col min="3" max="3" width="10.140625" bestFit="1" customWidth="1"/>
    <col min="4" max="4" width="11.140625" customWidth="1"/>
    <col min="5" max="5" width="14.42578125" customWidth="1"/>
    <col min="6" max="6" width="14.7109375" customWidth="1"/>
    <col min="8" max="8" width="3.28515625" customWidth="1"/>
  </cols>
  <sheetData>
    <row r="1" spans="1:43" ht="26.25" customHeight="1" thickBot="1" x14ac:dyDescent="0.25">
      <c r="A1" s="397" t="s">
        <v>128</v>
      </c>
      <c r="B1" s="398"/>
      <c r="C1" s="398"/>
      <c r="D1" s="398"/>
      <c r="E1" s="398"/>
      <c r="F1" s="398"/>
      <c r="G1" s="399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</row>
    <row r="2" spans="1:43" x14ac:dyDescent="0.2">
      <c r="A2" s="268"/>
      <c r="B2" s="269"/>
      <c r="C2" s="269"/>
      <c r="D2" s="269"/>
      <c r="E2" s="269"/>
      <c r="F2" s="269"/>
      <c r="G2" s="270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</row>
    <row r="3" spans="1:43" x14ac:dyDescent="0.2">
      <c r="A3" s="281" t="s">
        <v>55</v>
      </c>
      <c r="B3" s="253"/>
      <c r="C3" s="259">
        <v>0.35</v>
      </c>
      <c r="D3" s="147"/>
      <c r="E3" s="147"/>
      <c r="F3" s="147"/>
      <c r="G3" s="271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2"/>
      <c r="AI3" s="252"/>
      <c r="AJ3" s="252"/>
      <c r="AK3" s="252"/>
      <c r="AL3" s="252"/>
      <c r="AM3" s="252"/>
      <c r="AN3" s="252"/>
      <c r="AO3" s="252"/>
      <c r="AP3" s="252"/>
      <c r="AQ3" s="252"/>
    </row>
    <row r="4" spans="1:43" x14ac:dyDescent="0.2">
      <c r="A4" s="281" t="s">
        <v>120</v>
      </c>
      <c r="B4" s="253"/>
      <c r="C4" s="255">
        <v>1.22</v>
      </c>
      <c r="D4" s="147"/>
      <c r="E4" s="147"/>
      <c r="F4" s="147"/>
      <c r="G4" s="271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  <c r="AK4" s="252"/>
      <c r="AL4" s="252"/>
      <c r="AM4" s="252"/>
      <c r="AN4" s="252"/>
      <c r="AO4" s="252"/>
      <c r="AP4" s="252"/>
      <c r="AQ4" s="252"/>
    </row>
    <row r="5" spans="1:43" x14ac:dyDescent="0.2">
      <c r="A5" s="260" t="s">
        <v>110</v>
      </c>
      <c r="B5" s="253"/>
      <c r="C5" s="257">
        <v>2.24E-2</v>
      </c>
      <c r="D5" s="147"/>
      <c r="E5" s="147"/>
      <c r="F5" s="147"/>
      <c r="G5" s="271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I5" s="252"/>
      <c r="AJ5" s="252"/>
      <c r="AK5" s="252"/>
      <c r="AL5" s="252"/>
      <c r="AM5" s="252"/>
      <c r="AN5" s="252"/>
      <c r="AO5" s="252"/>
      <c r="AP5" s="252"/>
      <c r="AQ5" s="252"/>
    </row>
    <row r="6" spans="1:43" x14ac:dyDescent="0.2">
      <c r="A6" s="260" t="s">
        <v>146</v>
      </c>
      <c r="B6" s="253"/>
      <c r="C6" s="257">
        <v>6.4000000000000001E-2</v>
      </c>
      <c r="D6" s="147"/>
      <c r="E6" s="147"/>
      <c r="F6" s="147"/>
      <c r="G6" s="271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2"/>
      <c r="AI6" s="252"/>
      <c r="AJ6" s="252"/>
      <c r="AK6" s="252"/>
      <c r="AL6" s="252"/>
      <c r="AM6" s="252"/>
      <c r="AN6" s="252"/>
      <c r="AO6" s="252"/>
      <c r="AP6" s="252"/>
      <c r="AQ6" s="252"/>
    </row>
    <row r="7" spans="1:43" s="256" customFormat="1" x14ac:dyDescent="0.2">
      <c r="A7" s="272"/>
      <c r="B7" s="147"/>
      <c r="C7" s="147"/>
      <c r="D7" s="147"/>
      <c r="E7" s="147"/>
      <c r="F7" s="147"/>
      <c r="G7" s="271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2"/>
      <c r="AI7" s="252"/>
      <c r="AJ7" s="252"/>
      <c r="AK7" s="252"/>
      <c r="AL7" s="252"/>
      <c r="AM7" s="252"/>
      <c r="AN7" s="252"/>
      <c r="AO7" s="252"/>
      <c r="AP7" s="252"/>
      <c r="AQ7" s="252"/>
    </row>
    <row r="8" spans="1:43" x14ac:dyDescent="0.2">
      <c r="A8" s="262" t="s">
        <v>116</v>
      </c>
      <c r="B8" s="263"/>
      <c r="C8" s="261"/>
      <c r="D8" s="147"/>
      <c r="E8" s="147"/>
      <c r="F8" s="147"/>
      <c r="G8" s="271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  <c r="AC8" s="252"/>
      <c r="AD8" s="252"/>
      <c r="AE8" s="252"/>
      <c r="AF8" s="252"/>
      <c r="AG8" s="252"/>
      <c r="AH8" s="252"/>
      <c r="AI8" s="252"/>
      <c r="AJ8" s="252"/>
      <c r="AK8" s="252"/>
      <c r="AL8" s="252"/>
      <c r="AM8" s="252"/>
      <c r="AN8" s="252"/>
      <c r="AO8" s="252"/>
      <c r="AP8" s="252"/>
      <c r="AQ8" s="252"/>
    </row>
    <row r="9" spans="1:43" x14ac:dyDescent="0.2">
      <c r="A9" s="281" t="s">
        <v>109</v>
      </c>
      <c r="B9" s="253"/>
      <c r="C9" s="332">
        <f>C27</f>
        <v>17.718</v>
      </c>
      <c r="D9" s="147"/>
      <c r="E9" s="147"/>
      <c r="F9" s="147"/>
      <c r="G9" s="271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2"/>
      <c r="AI9" s="252"/>
      <c r="AJ9" s="252"/>
      <c r="AK9" s="252"/>
      <c r="AL9" s="252"/>
      <c r="AM9" s="252"/>
      <c r="AN9" s="252"/>
      <c r="AO9" s="252"/>
      <c r="AP9" s="252"/>
      <c r="AQ9" s="252"/>
    </row>
    <row r="10" spans="1:43" x14ac:dyDescent="0.2">
      <c r="A10" s="281" t="s">
        <v>113</v>
      </c>
      <c r="B10" s="253"/>
      <c r="C10" s="258">
        <f>'DCF '!R24*'DCF '!R27</f>
        <v>6697.1788665599997</v>
      </c>
      <c r="D10" s="147" t="s">
        <v>136</v>
      </c>
      <c r="E10" s="147"/>
      <c r="F10" s="147"/>
      <c r="G10" s="271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  <c r="AA10" s="252"/>
      <c r="AB10" s="252"/>
      <c r="AC10" s="252"/>
      <c r="AD10" s="252"/>
      <c r="AE10" s="252"/>
      <c r="AF10" s="252"/>
      <c r="AG10" s="252"/>
      <c r="AH10" s="252"/>
      <c r="AI10" s="252"/>
      <c r="AJ10" s="252"/>
      <c r="AK10" s="252"/>
      <c r="AL10" s="252"/>
      <c r="AM10" s="252"/>
      <c r="AN10" s="252"/>
      <c r="AO10" s="252"/>
      <c r="AP10" s="252"/>
      <c r="AQ10" s="252"/>
    </row>
    <row r="11" spans="1:43" x14ac:dyDescent="0.2">
      <c r="A11" s="282" t="s">
        <v>114</v>
      </c>
      <c r="B11" s="283"/>
      <c r="C11" s="258">
        <v>0</v>
      </c>
      <c r="D11" s="147"/>
      <c r="E11" s="147"/>
      <c r="F11" s="147"/>
      <c r="G11" s="271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  <c r="AA11" s="252"/>
      <c r="AB11" s="252"/>
      <c r="AC11" s="252"/>
      <c r="AD11" s="252"/>
      <c r="AE11" s="252"/>
      <c r="AF11" s="252"/>
      <c r="AG11" s="252"/>
      <c r="AH11" s="252"/>
      <c r="AI11" s="252"/>
      <c r="AJ11" s="252"/>
      <c r="AK11" s="252"/>
      <c r="AL11" s="252"/>
      <c r="AM11" s="252"/>
      <c r="AN11" s="252"/>
      <c r="AO11" s="252"/>
      <c r="AP11" s="252"/>
      <c r="AQ11" s="252"/>
    </row>
    <row r="12" spans="1:43" x14ac:dyDescent="0.2">
      <c r="A12" s="260"/>
      <c r="B12" s="263" t="s">
        <v>115</v>
      </c>
      <c r="C12" s="264"/>
      <c r="D12" s="147"/>
      <c r="E12" s="147"/>
      <c r="F12" s="147"/>
      <c r="G12" s="271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2"/>
      <c r="AI12" s="252"/>
      <c r="AJ12" s="252"/>
      <c r="AK12" s="252"/>
      <c r="AL12" s="252"/>
      <c r="AM12" s="252"/>
      <c r="AN12" s="252"/>
      <c r="AO12" s="252"/>
      <c r="AP12" s="252"/>
      <c r="AQ12" s="252"/>
    </row>
    <row r="13" spans="1:43" x14ac:dyDescent="0.2">
      <c r="A13" s="272"/>
      <c r="B13" s="147"/>
      <c r="C13" s="147"/>
      <c r="D13" s="147"/>
      <c r="E13" s="147"/>
      <c r="F13" s="147"/>
      <c r="G13" s="271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52"/>
      <c r="AH13" s="252"/>
      <c r="AI13" s="252"/>
      <c r="AJ13" s="252"/>
      <c r="AK13" s="252"/>
      <c r="AL13" s="252"/>
      <c r="AM13" s="252"/>
      <c r="AN13" s="252"/>
      <c r="AO13" s="252"/>
      <c r="AP13" s="252"/>
      <c r="AQ13" s="252"/>
    </row>
    <row r="14" spans="1:43" x14ac:dyDescent="0.2">
      <c r="A14" s="262" t="s">
        <v>117</v>
      </c>
      <c r="B14" s="253"/>
      <c r="C14" s="253"/>
      <c r="D14" s="147"/>
      <c r="E14" s="147"/>
      <c r="F14" s="147"/>
      <c r="G14" s="271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  <c r="AI14" s="252"/>
      <c r="AJ14" s="252"/>
      <c r="AK14" s="252"/>
      <c r="AL14" s="252"/>
      <c r="AM14" s="252"/>
      <c r="AN14" s="252"/>
      <c r="AO14" s="252"/>
      <c r="AP14" s="252"/>
      <c r="AQ14" s="252"/>
    </row>
    <row r="15" spans="1:43" x14ac:dyDescent="0.2">
      <c r="A15" s="281" t="s">
        <v>111</v>
      </c>
      <c r="B15" s="253"/>
      <c r="C15" s="375">
        <f>C27/(C9+C10+C11)</f>
        <v>2.6386108903973119E-3</v>
      </c>
      <c r="D15" s="147"/>
      <c r="E15" s="147"/>
      <c r="F15" s="147"/>
      <c r="G15" s="271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2"/>
      <c r="AP15" s="252"/>
      <c r="AQ15" s="252"/>
    </row>
    <row r="16" spans="1:43" x14ac:dyDescent="0.2">
      <c r="A16" s="281" t="s">
        <v>112</v>
      </c>
      <c r="B16" s="253"/>
      <c r="C16" s="276">
        <f>C10/(C9+C10+C11)</f>
        <v>0.9973613891096027</v>
      </c>
      <c r="D16" s="147"/>
      <c r="E16" s="147"/>
      <c r="F16" s="147"/>
      <c r="G16" s="271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252"/>
    </row>
    <row r="17" spans="1:43" x14ac:dyDescent="0.2">
      <c r="A17" s="281" t="s">
        <v>118</v>
      </c>
      <c r="B17" s="253"/>
      <c r="C17" s="276"/>
      <c r="D17" s="147"/>
      <c r="E17" s="147"/>
      <c r="F17" s="147"/>
      <c r="G17" s="271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  <c r="AL17" s="252"/>
      <c r="AM17" s="252"/>
      <c r="AN17" s="252"/>
      <c r="AO17" s="252"/>
      <c r="AP17" s="252"/>
      <c r="AQ17" s="252"/>
    </row>
    <row r="18" spans="1:43" s="256" customFormat="1" x14ac:dyDescent="0.2">
      <c r="A18" s="272"/>
      <c r="B18" s="147"/>
      <c r="C18" s="147"/>
      <c r="D18" s="147"/>
      <c r="E18" s="147"/>
      <c r="F18" s="147"/>
      <c r="G18" s="271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2"/>
      <c r="AJ18" s="252"/>
      <c r="AK18" s="252"/>
      <c r="AL18" s="252"/>
      <c r="AM18" s="252"/>
      <c r="AN18" s="252"/>
      <c r="AO18" s="252"/>
      <c r="AP18" s="252"/>
      <c r="AQ18" s="252"/>
    </row>
    <row r="19" spans="1:43" x14ac:dyDescent="0.2">
      <c r="A19" s="262" t="s">
        <v>119</v>
      </c>
      <c r="B19" s="253"/>
      <c r="C19" s="288"/>
      <c r="D19" s="376" t="s">
        <v>148</v>
      </c>
      <c r="E19" s="147"/>
      <c r="F19" s="147"/>
      <c r="G19" s="271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  <c r="AM19" s="252"/>
      <c r="AN19" s="252"/>
      <c r="AO19" s="252"/>
      <c r="AP19" s="252"/>
      <c r="AQ19" s="252"/>
    </row>
    <row r="20" spans="1:43" x14ac:dyDescent="0.2">
      <c r="A20" s="281" t="s">
        <v>147</v>
      </c>
      <c r="B20" s="253"/>
      <c r="C20" s="277"/>
      <c r="D20" s="378">
        <f>(E27*C15)*(1-C3)</f>
        <v>6.5002179284937779E-5</v>
      </c>
      <c r="E20" s="147"/>
      <c r="F20" s="147"/>
      <c r="G20" s="271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  <c r="AL20" s="252"/>
      <c r="AM20" s="252"/>
      <c r="AN20" s="252"/>
      <c r="AO20" s="252"/>
      <c r="AP20" s="252"/>
      <c r="AQ20" s="252"/>
    </row>
    <row r="21" spans="1:43" x14ac:dyDescent="0.2">
      <c r="A21" s="282" t="s">
        <v>126</v>
      </c>
      <c r="B21" s="283"/>
      <c r="C21" s="284"/>
      <c r="D21" s="379">
        <f>(C5+(C4*C6))*C16</f>
        <v>0.10021487237773288</v>
      </c>
      <c r="E21" s="147"/>
      <c r="F21" s="147"/>
      <c r="G21" s="271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</row>
    <row r="22" spans="1:43" x14ac:dyDescent="0.2">
      <c r="A22" s="260"/>
      <c r="B22" s="263" t="s">
        <v>127</v>
      </c>
      <c r="C22" s="265"/>
      <c r="D22" s="377">
        <f>SUM(D20:D21)</f>
        <v>0.10027987455701783</v>
      </c>
      <c r="E22" s="147"/>
      <c r="F22" s="147"/>
      <c r="G22" s="271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  <c r="AL22" s="252"/>
      <c r="AM22" s="252"/>
      <c r="AN22" s="252"/>
      <c r="AO22" s="252"/>
      <c r="AP22" s="252"/>
      <c r="AQ22" s="252"/>
    </row>
    <row r="23" spans="1:43" x14ac:dyDescent="0.2">
      <c r="A23" s="272"/>
      <c r="B23" s="147"/>
      <c r="C23" s="147"/>
      <c r="D23" s="147"/>
      <c r="E23" s="147"/>
      <c r="F23" s="147"/>
      <c r="G23" s="271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2"/>
      <c r="AJ23" s="252"/>
      <c r="AK23" s="252"/>
      <c r="AL23" s="252"/>
      <c r="AM23" s="252"/>
      <c r="AN23" s="252"/>
      <c r="AO23" s="252"/>
      <c r="AP23" s="252"/>
      <c r="AQ23" s="252"/>
    </row>
    <row r="24" spans="1:43" x14ac:dyDescent="0.2">
      <c r="A24" s="262" t="s">
        <v>121</v>
      </c>
      <c r="B24" s="253"/>
      <c r="C24" s="253"/>
      <c r="D24" s="147"/>
      <c r="E24" s="147"/>
      <c r="F24" s="147"/>
      <c r="G24" s="271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252"/>
      <c r="AN24" s="252"/>
      <c r="AO24" s="252"/>
      <c r="AP24" s="252"/>
      <c r="AQ24" s="252"/>
    </row>
    <row r="25" spans="1:43" x14ac:dyDescent="0.2">
      <c r="A25" s="266"/>
      <c r="B25" s="267" t="s">
        <v>125</v>
      </c>
      <c r="C25" s="267" t="s">
        <v>122</v>
      </c>
      <c r="D25" s="267" t="s">
        <v>123</v>
      </c>
      <c r="E25" s="267" t="s">
        <v>124</v>
      </c>
      <c r="F25" s="267" t="s">
        <v>129</v>
      </c>
      <c r="G25" s="271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252"/>
      <c r="AN25" s="252"/>
      <c r="AO25" s="252"/>
      <c r="AP25" s="252"/>
      <c r="AQ25" s="252"/>
    </row>
    <row r="26" spans="1:43" ht="3.75" customHeight="1" x14ac:dyDescent="0.2">
      <c r="A26" s="260"/>
      <c r="B26" s="253"/>
      <c r="C26" s="253"/>
      <c r="D26" s="253"/>
      <c r="E26" s="253"/>
      <c r="F26" s="253"/>
      <c r="G26" s="271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</row>
    <row r="27" spans="1:43" x14ac:dyDescent="0.2">
      <c r="A27" s="254"/>
      <c r="B27" s="254" t="s">
        <v>139</v>
      </c>
      <c r="C27" s="358">
        <v>17.718</v>
      </c>
      <c r="D27" s="276"/>
      <c r="E27" s="372">
        <v>3.7900000000000003E-2</v>
      </c>
      <c r="F27" s="278"/>
      <c r="G27" s="271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  <c r="AL27" s="252"/>
      <c r="AM27" s="252"/>
      <c r="AN27" s="252"/>
      <c r="AO27" s="252"/>
      <c r="AP27" s="252"/>
      <c r="AQ27" s="252"/>
    </row>
    <row r="28" spans="1:43" x14ac:dyDescent="0.2">
      <c r="A28" s="254"/>
      <c r="B28" s="254"/>
      <c r="C28" s="285"/>
      <c r="D28" s="276"/>
      <c r="E28" s="259"/>
      <c r="F28" s="278"/>
      <c r="G28" s="271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252"/>
      <c r="AJ28" s="252"/>
      <c r="AK28" s="252"/>
      <c r="AL28" s="252"/>
      <c r="AM28" s="252"/>
      <c r="AN28" s="252"/>
      <c r="AO28" s="252"/>
      <c r="AP28" s="252"/>
      <c r="AQ28" s="252"/>
    </row>
    <row r="29" spans="1:43" x14ac:dyDescent="0.2">
      <c r="A29" s="254"/>
      <c r="B29" s="254"/>
      <c r="C29" s="285"/>
      <c r="D29" s="276"/>
      <c r="E29" s="259"/>
      <c r="F29" s="278"/>
      <c r="G29" s="271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  <c r="AA29" s="252"/>
      <c r="AB29" s="252"/>
      <c r="AC29" s="252"/>
      <c r="AD29" s="252"/>
      <c r="AE29" s="252"/>
      <c r="AF29" s="252"/>
      <c r="AG29" s="252"/>
      <c r="AH29" s="252"/>
      <c r="AI29" s="252"/>
      <c r="AJ29" s="252"/>
      <c r="AK29" s="252"/>
      <c r="AL29" s="252"/>
      <c r="AM29" s="252"/>
      <c r="AN29" s="252"/>
      <c r="AO29" s="252"/>
      <c r="AP29" s="252"/>
      <c r="AQ29" s="252"/>
    </row>
    <row r="30" spans="1:43" x14ac:dyDescent="0.2">
      <c r="A30" s="254"/>
      <c r="B30" s="254"/>
      <c r="C30" s="285"/>
      <c r="D30" s="276"/>
      <c r="E30" s="259"/>
      <c r="F30" s="278"/>
      <c r="G30" s="271"/>
      <c r="H30" s="252"/>
      <c r="I30" s="252"/>
      <c r="J30" s="252"/>
      <c r="K30" s="252"/>
      <c r="L30" s="252"/>
      <c r="M30" s="252"/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  <c r="AA30" s="252"/>
      <c r="AB30" s="252"/>
      <c r="AC30" s="252"/>
      <c r="AD30" s="252"/>
      <c r="AE30" s="252"/>
      <c r="AF30" s="252"/>
      <c r="AG30" s="252"/>
      <c r="AH30" s="252"/>
      <c r="AI30" s="252"/>
      <c r="AJ30" s="252"/>
      <c r="AK30" s="252"/>
      <c r="AL30" s="252"/>
      <c r="AM30" s="252"/>
      <c r="AN30" s="252"/>
      <c r="AO30" s="252"/>
      <c r="AP30" s="252"/>
      <c r="AQ30" s="252"/>
    </row>
    <row r="31" spans="1:43" x14ac:dyDescent="0.2">
      <c r="A31" s="254"/>
      <c r="B31" s="254"/>
      <c r="C31" s="285"/>
      <c r="D31" s="276"/>
      <c r="E31" s="259"/>
      <c r="F31" s="278"/>
      <c r="G31" s="271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2"/>
      <c r="AC31" s="252"/>
      <c r="AD31" s="252"/>
      <c r="AE31" s="252"/>
      <c r="AF31" s="252"/>
      <c r="AG31" s="252"/>
      <c r="AH31" s="252"/>
      <c r="AI31" s="252"/>
      <c r="AJ31" s="252"/>
      <c r="AK31" s="252"/>
      <c r="AL31" s="252"/>
      <c r="AM31" s="252"/>
      <c r="AN31" s="252"/>
      <c r="AO31" s="252"/>
      <c r="AP31" s="252"/>
      <c r="AQ31" s="252"/>
    </row>
    <row r="32" spans="1:43" x14ac:dyDescent="0.2">
      <c r="A32" s="254"/>
      <c r="B32" s="254"/>
      <c r="C32" s="285"/>
      <c r="D32" s="276"/>
      <c r="E32" s="259"/>
      <c r="F32" s="278"/>
      <c r="G32" s="271"/>
      <c r="H32" s="252"/>
      <c r="I32" s="252"/>
      <c r="J32" s="252"/>
      <c r="K32" s="252"/>
      <c r="L32" s="252"/>
      <c r="M32" s="252"/>
      <c r="N32" s="252"/>
      <c r="O32" s="252"/>
      <c r="P32" s="252"/>
      <c r="Q32" s="252"/>
      <c r="R32" s="252"/>
      <c r="S32" s="252"/>
      <c r="T32" s="252"/>
      <c r="U32" s="252"/>
      <c r="V32" s="252"/>
      <c r="W32" s="252"/>
      <c r="X32" s="252"/>
      <c r="Y32" s="252"/>
      <c r="Z32" s="252"/>
      <c r="AA32" s="252"/>
      <c r="AB32" s="252"/>
      <c r="AC32" s="252"/>
      <c r="AD32" s="252"/>
      <c r="AE32" s="252"/>
      <c r="AF32" s="252"/>
      <c r="AG32" s="252"/>
      <c r="AH32" s="252"/>
      <c r="AI32" s="252"/>
      <c r="AJ32" s="252"/>
      <c r="AK32" s="252"/>
      <c r="AL32" s="252"/>
      <c r="AM32" s="252"/>
      <c r="AN32" s="252"/>
      <c r="AO32" s="252"/>
      <c r="AP32" s="252"/>
      <c r="AQ32" s="252"/>
    </row>
    <row r="33" spans="1:43" x14ac:dyDescent="0.2">
      <c r="A33" s="255"/>
      <c r="B33" s="254"/>
      <c r="C33" s="258"/>
      <c r="D33" s="286"/>
      <c r="E33" s="259"/>
      <c r="F33" s="287"/>
      <c r="G33" s="271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252"/>
      <c r="V33" s="252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52"/>
      <c r="AH33" s="252"/>
      <c r="AI33" s="252"/>
      <c r="AJ33" s="252"/>
      <c r="AK33" s="252"/>
      <c r="AL33" s="252"/>
      <c r="AM33" s="252"/>
      <c r="AN33" s="252"/>
      <c r="AO33" s="252"/>
      <c r="AP33" s="252"/>
      <c r="AQ33" s="252"/>
    </row>
    <row r="34" spans="1:43" x14ac:dyDescent="0.2">
      <c r="A34" s="260"/>
      <c r="B34" s="263" t="s">
        <v>95</v>
      </c>
      <c r="C34" s="264"/>
      <c r="D34" s="279"/>
      <c r="E34" s="263"/>
      <c r="F34" s="280"/>
      <c r="G34" s="271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  <c r="AA34" s="252"/>
      <c r="AB34" s="252"/>
      <c r="AC34" s="252"/>
      <c r="AD34" s="252"/>
      <c r="AE34" s="252"/>
      <c r="AF34" s="252"/>
      <c r="AG34" s="252"/>
      <c r="AH34" s="252"/>
      <c r="AI34" s="252"/>
      <c r="AJ34" s="252"/>
      <c r="AK34" s="252"/>
      <c r="AL34" s="252"/>
      <c r="AM34" s="252"/>
      <c r="AN34" s="252"/>
      <c r="AO34" s="252"/>
      <c r="AP34" s="252"/>
      <c r="AQ34" s="252"/>
    </row>
    <row r="35" spans="1:43" x14ac:dyDescent="0.2">
      <c r="A35" s="272"/>
      <c r="B35" s="147"/>
      <c r="C35" s="147"/>
      <c r="D35" s="147"/>
      <c r="E35" s="147"/>
      <c r="F35" s="147"/>
      <c r="G35" s="271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2"/>
      <c r="AF35" s="252"/>
      <c r="AG35" s="252"/>
      <c r="AH35" s="252"/>
      <c r="AI35" s="252"/>
      <c r="AJ35" s="252"/>
      <c r="AK35" s="252"/>
      <c r="AL35" s="252"/>
      <c r="AM35" s="252"/>
      <c r="AN35" s="252"/>
      <c r="AO35" s="252"/>
      <c r="AP35" s="252"/>
      <c r="AQ35" s="252"/>
    </row>
    <row r="36" spans="1:43" x14ac:dyDescent="0.2">
      <c r="A36" s="272"/>
      <c r="B36" s="147"/>
      <c r="C36" s="147"/>
      <c r="D36" s="147"/>
      <c r="E36" s="147"/>
      <c r="F36" s="147"/>
      <c r="G36" s="271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2"/>
      <c r="AF36" s="252"/>
      <c r="AG36" s="252"/>
      <c r="AH36" s="252"/>
      <c r="AI36" s="252"/>
      <c r="AJ36" s="252"/>
      <c r="AK36" s="252"/>
      <c r="AL36" s="252"/>
      <c r="AM36" s="252"/>
      <c r="AN36" s="252"/>
      <c r="AO36" s="252"/>
      <c r="AP36" s="252"/>
      <c r="AQ36" s="252"/>
    </row>
    <row r="37" spans="1:43" ht="13.5" thickBot="1" x14ac:dyDescent="0.25">
      <c r="A37" s="274"/>
      <c r="B37" s="275"/>
      <c r="C37" s="275"/>
      <c r="D37" s="275"/>
      <c r="E37" s="275"/>
      <c r="F37" s="275"/>
      <c r="G37" s="273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2"/>
      <c r="AF37" s="252"/>
      <c r="AG37" s="252"/>
      <c r="AH37" s="252"/>
      <c r="AI37" s="252"/>
      <c r="AJ37" s="252"/>
      <c r="AK37" s="252"/>
      <c r="AL37" s="252"/>
      <c r="AM37" s="252"/>
      <c r="AN37" s="252"/>
      <c r="AO37" s="252"/>
      <c r="AP37" s="252"/>
      <c r="AQ37" s="252"/>
    </row>
    <row r="38" spans="1:43" x14ac:dyDescent="0.2"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2"/>
      <c r="AI38" s="252"/>
      <c r="AJ38" s="252"/>
      <c r="AK38" s="252"/>
      <c r="AL38" s="252"/>
      <c r="AM38" s="252"/>
      <c r="AN38" s="252"/>
      <c r="AO38" s="252"/>
      <c r="AP38" s="252"/>
      <c r="AQ38" s="252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DCF - Original</vt:lpstr>
      <vt:lpstr>DCF </vt:lpstr>
      <vt:lpstr>Cost of Capital</vt:lpstr>
      <vt:lpstr>'DCF '!Print_Area</vt:lpstr>
      <vt:lpstr>'DCF - Original'!Print_Area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Aditi Tiwari</cp:lastModifiedBy>
  <cp:lastPrinted>2010-11-03T23:51:57Z</cp:lastPrinted>
  <dcterms:created xsi:type="dcterms:W3CDTF">1996-10-14T23:33:28Z</dcterms:created>
  <dcterms:modified xsi:type="dcterms:W3CDTF">2024-12-30T03:06:32Z</dcterms:modified>
</cp:coreProperties>
</file>