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hartEx1.xml" ContentType="application/vnd.ms-office.chartex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ioak\Desktop\Aditi\Eaton_Pratibha\"/>
    </mc:Choice>
  </mc:AlternateContent>
  <bookViews>
    <workbookView xWindow="0" yWindow="0" windowWidth="20490" windowHeight="7905"/>
  </bookViews>
  <sheets>
    <sheet name="Basic_Data" sheetId="1" r:id="rId1"/>
    <sheet name="EOQ" sheetId="3" r:id="rId2"/>
    <sheet name="Suppliers_Comparative_Data" sheetId="8" r:id="rId3"/>
    <sheet name="EOQ_Sim" sheetId="5" r:id="rId4"/>
    <sheet name="ROP" sheetId="4" r:id="rId5"/>
    <sheet name="ABC_Analysis" sheetId="7" r:id="rId6"/>
    <sheet name="Constants" sheetId="2" r:id="rId7"/>
  </sheets>
  <definedNames>
    <definedName name="_xlchart.v1.0" hidden="1">ABC_Analysis!$B$3:$B$11</definedName>
    <definedName name="_xlchart.v1.1" hidden="1">ABC_Analysis!$G$3:$G$11</definedName>
    <definedName name="_xlchart.v1.10" hidden="1">ABC_Analysis!$B$3:$B$11</definedName>
    <definedName name="_xlchart.v1.11" hidden="1">ABC_Analysis!$G$3:$G$11</definedName>
    <definedName name="_xlchart.v1.2" hidden="1">ABC_Analysis!$B$3:$B$11</definedName>
    <definedName name="_xlchart.v1.3" hidden="1">ABC_Analysis!$G$3:$G$11</definedName>
    <definedName name="_xlchart.v1.4" hidden="1">ABC_Analysis!$B$3:$B$11</definedName>
    <definedName name="_xlchart.v1.5" hidden="1">ABC_Analysis!$G$3:$G$11</definedName>
    <definedName name="_xlchart.v1.6" hidden="1">ABC_Analysis!$B$3:$B$11</definedName>
    <definedName name="_xlchart.v1.7" hidden="1">ABC_Analysis!$G$3:$G$11</definedName>
    <definedName name="_xlchart.v1.8" hidden="1">ABC_Analysis!$B$3:$B$11</definedName>
    <definedName name="_xlchart.v1.9" hidden="1">ABC_Analysis!$G$3:$G$11</definedName>
    <definedName name="ABC_Class">Constants!$D$2:$D$4</definedName>
    <definedName name="Est_Prem_Vol">Constants!$B$6</definedName>
    <definedName name="Est_Std_Vol">Constants!$B$7</definedName>
    <definedName name="Make_Buy">Constants!$B$2:$B$3</definedName>
    <definedName name="Model">Constants!$A$2:$A$4</definedName>
    <definedName name="Supp1_S_Pct">Constants!$B$13</definedName>
    <definedName name="Supp1_wt">Constants!$B$9</definedName>
    <definedName name="Supp2_S_Pct">Constants!$B$14</definedName>
    <definedName name="Supp2_wt">Constants!$B$10</definedName>
    <definedName name="Supp3_S_Pct">Constants!$B$15</definedName>
    <definedName name="Supp3_wt">Constants!$B$11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3" l="1"/>
  <c r="AH13" i="5"/>
  <c r="AH14" i="5" s="1"/>
  <c r="K21" i="8"/>
  <c r="J21" i="8"/>
  <c r="J26" i="8" s="1"/>
  <c r="I21" i="8"/>
  <c r="I26" i="8" s="1"/>
  <c r="L15" i="8"/>
  <c r="K15" i="8"/>
  <c r="G15" i="8"/>
  <c r="L14" i="8"/>
  <c r="K14" i="8"/>
  <c r="G14" i="8"/>
  <c r="K13" i="8"/>
  <c r="G13" i="8"/>
  <c r="L13" i="8" s="1"/>
  <c r="L12" i="8"/>
  <c r="F12" i="8"/>
  <c r="K12" i="8" s="1"/>
  <c r="L11" i="8"/>
  <c r="G11" i="8"/>
  <c r="F11" i="8"/>
  <c r="K11" i="8" s="1"/>
  <c r="AA10" i="8"/>
  <c r="V10" i="8"/>
  <c r="Q10" i="8"/>
  <c r="L10" i="8"/>
  <c r="K10" i="8"/>
  <c r="I10" i="8"/>
  <c r="G10" i="8"/>
  <c r="F10" i="8"/>
  <c r="L9" i="8"/>
  <c r="G9" i="8"/>
  <c r="F9" i="8"/>
  <c r="K9" i="8" s="1"/>
  <c r="L8" i="8"/>
  <c r="G8" i="8"/>
  <c r="F8" i="8"/>
  <c r="K8" i="8" s="1"/>
  <c r="L7" i="8"/>
  <c r="G7" i="8"/>
  <c r="F7" i="8"/>
  <c r="K7" i="8" s="1"/>
  <c r="L6" i="8"/>
  <c r="G6" i="8"/>
  <c r="F6" i="8"/>
  <c r="K6" i="8" s="1"/>
  <c r="L5" i="8"/>
  <c r="G5" i="8"/>
  <c r="F5" i="8"/>
  <c r="K5" i="8" s="1"/>
  <c r="L4" i="8"/>
  <c r="L17" i="8" s="1"/>
  <c r="G4" i="8"/>
  <c r="F4" i="8"/>
  <c r="K4" i="8" s="1"/>
  <c r="B1" i="5"/>
  <c r="C1" i="5"/>
  <c r="D1" i="5"/>
  <c r="A5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K17" i="8" l="1"/>
  <c r="K26" i="8"/>
  <c r="L21" i="8"/>
  <c r="L26" i="8" s="1"/>
  <c r="Y21" i="5"/>
  <c r="Y22" i="5" s="1"/>
  <c r="M26" i="8" l="1"/>
  <c r="L27" i="8" s="1"/>
  <c r="L29" i="8" s="1"/>
  <c r="L34" i="8" s="1"/>
  <c r="L36" i="8" s="1"/>
  <c r="L38" i="8" s="1"/>
  <c r="K27" i="8"/>
  <c r="K29" i="8" s="1"/>
  <c r="F4" i="1"/>
  <c r="Y18" i="5"/>
  <c r="Y17" i="5"/>
  <c r="Y16" i="5"/>
  <c r="M29" i="8" l="1"/>
  <c r="K34" i="8"/>
  <c r="Y19" i="5"/>
  <c r="E16" i="4"/>
  <c r="E17" i="4"/>
  <c r="E18" i="4"/>
  <c r="E19" i="4"/>
  <c r="E20" i="4"/>
  <c r="E21" i="4"/>
  <c r="E15" i="4"/>
  <c r="C16" i="7"/>
  <c r="B24" i="7"/>
  <c r="B25" i="7"/>
  <c r="B18" i="7"/>
  <c r="B19" i="7"/>
  <c r="B20" i="7"/>
  <c r="B21" i="7"/>
  <c r="B22" i="7"/>
  <c r="B23" i="7"/>
  <c r="B17" i="7"/>
  <c r="B16" i="7"/>
  <c r="Y5" i="5"/>
  <c r="M34" i="8" l="1"/>
  <c r="K36" i="8"/>
  <c r="K38" i="8" s="1"/>
  <c r="B5" i="4"/>
  <c r="G11" i="4" l="1"/>
  <c r="H11" i="4"/>
  <c r="I11" i="4"/>
  <c r="F11" i="4"/>
  <c r="A1" i="4"/>
  <c r="E9" i="7" l="1"/>
  <c r="E8" i="7"/>
  <c r="E4" i="7"/>
  <c r="E3" i="7"/>
  <c r="E5" i="7"/>
  <c r="E10" i="7"/>
  <c r="E6" i="7"/>
  <c r="E7" i="7"/>
  <c r="E11" i="7"/>
  <c r="D3" i="7"/>
  <c r="D7" i="7"/>
  <c r="F7" i="7" s="1"/>
  <c r="C9" i="7"/>
  <c r="D9" i="7" s="1"/>
  <c r="C8" i="7"/>
  <c r="D8" i="7" s="1"/>
  <c r="F8" i="7" s="1"/>
  <c r="C4" i="7"/>
  <c r="D4" i="7" s="1"/>
  <c r="C3" i="7"/>
  <c r="C5" i="7"/>
  <c r="D5" i="7" s="1"/>
  <c r="C10" i="7"/>
  <c r="D10" i="7" s="1"/>
  <c r="C6" i="7"/>
  <c r="D6" i="7" s="1"/>
  <c r="C7" i="7"/>
  <c r="C11" i="7"/>
  <c r="D11" i="7" s="1"/>
  <c r="B9" i="7"/>
  <c r="B8" i="7"/>
  <c r="B4" i="7"/>
  <c r="B3" i="7"/>
  <c r="B5" i="7"/>
  <c r="B10" i="7"/>
  <c r="B6" i="7"/>
  <c r="B7" i="7"/>
  <c r="B11" i="7"/>
  <c r="A7" i="7"/>
  <c r="A9" i="7"/>
  <c r="A8" i="7"/>
  <c r="A4" i="7"/>
  <c r="A3" i="7"/>
  <c r="A5" i="7"/>
  <c r="A10" i="7"/>
  <c r="A6" i="7"/>
  <c r="A11" i="7"/>
  <c r="E1" i="7"/>
  <c r="C1" i="7"/>
  <c r="B1" i="7"/>
  <c r="A1" i="7"/>
  <c r="B4" i="4"/>
  <c r="AH5" i="5"/>
  <c r="AH4" i="5"/>
  <c r="V5" i="3"/>
  <c r="W5" i="3"/>
  <c r="U5" i="3"/>
  <c r="AH10" i="5" l="1"/>
  <c r="AD5" i="5" s="1"/>
  <c r="B7" i="4"/>
  <c r="E2" i="4" s="1"/>
  <c r="F10" i="7"/>
  <c r="F3" i="7"/>
  <c r="F11" i="7"/>
  <c r="F9" i="7"/>
  <c r="F6" i="7"/>
  <c r="F5" i="7"/>
  <c r="F4" i="7"/>
  <c r="AA10" i="1"/>
  <c r="V10" i="1"/>
  <c r="Q10" i="1"/>
  <c r="AE11" i="3" s="1"/>
  <c r="S11" i="3" s="1"/>
  <c r="AE6" i="3"/>
  <c r="S6" i="3" s="1"/>
  <c r="AE7" i="3"/>
  <c r="S7" i="3" s="1"/>
  <c r="AE8" i="3"/>
  <c r="S8" i="3" s="1"/>
  <c r="AE9" i="3"/>
  <c r="S9" i="3" s="1"/>
  <c r="AE10" i="3"/>
  <c r="S10" i="3" s="1"/>
  <c r="AE5" i="3"/>
  <c r="G6" i="3"/>
  <c r="G7" i="3"/>
  <c r="G8" i="3"/>
  <c r="G9" i="3"/>
  <c r="G10" i="3"/>
  <c r="G11" i="3"/>
  <c r="G5" i="3"/>
  <c r="B6" i="3"/>
  <c r="B7" i="3"/>
  <c r="B8" i="3"/>
  <c r="B9" i="3"/>
  <c r="B10" i="3"/>
  <c r="B11" i="3"/>
  <c r="B5" i="3"/>
  <c r="A6" i="3"/>
  <c r="A7" i="3"/>
  <c r="A8" i="3"/>
  <c r="A9" i="3"/>
  <c r="A10" i="3"/>
  <c r="A11" i="3"/>
  <c r="A5" i="3"/>
  <c r="I5" i="3"/>
  <c r="I10" i="1"/>
  <c r="E1" i="3"/>
  <c r="D1" i="3"/>
  <c r="B11" i="2"/>
  <c r="F1" i="3" s="1"/>
  <c r="Y7" i="5" l="1"/>
  <c r="Y10" i="5" s="1"/>
  <c r="Y13" i="5" s="1"/>
  <c r="U5" i="5" s="1"/>
  <c r="Y4" i="5"/>
  <c r="S5" i="3"/>
  <c r="G5" i="7"/>
  <c r="C19" i="7" s="1"/>
  <c r="G6" i="7"/>
  <c r="C20" i="7" s="1"/>
  <c r="F13" i="7"/>
  <c r="G3" i="7" s="1"/>
  <c r="G11" i="7"/>
  <c r="C25" i="7" s="1"/>
  <c r="G10" i="7"/>
  <c r="G5" i="1"/>
  <c r="G6" i="1"/>
  <c r="G7" i="1"/>
  <c r="G8" i="1"/>
  <c r="G9" i="1"/>
  <c r="G10" i="1"/>
  <c r="G11" i="1"/>
  <c r="G13" i="1"/>
  <c r="G14" i="1"/>
  <c r="G15" i="1"/>
  <c r="G4" i="1"/>
  <c r="F5" i="1"/>
  <c r="C6" i="3" s="1"/>
  <c r="E6" i="3" s="1"/>
  <c r="F6" i="1"/>
  <c r="C7" i="3" s="1"/>
  <c r="H7" i="3" s="1"/>
  <c r="F7" i="1"/>
  <c r="C8" i="3" s="1"/>
  <c r="F8" i="3" s="1"/>
  <c r="F8" i="1"/>
  <c r="C9" i="3" s="1"/>
  <c r="F9" i="3" s="1"/>
  <c r="F9" i="1"/>
  <c r="C10" i="3" s="1"/>
  <c r="D10" i="3" s="1"/>
  <c r="F10" i="1"/>
  <c r="F11" i="1"/>
  <c r="F12" i="1"/>
  <c r="D18" i="7" l="1"/>
  <c r="D17" i="7"/>
  <c r="D19" i="7"/>
  <c r="C17" i="7"/>
  <c r="I3" i="7"/>
  <c r="C24" i="7"/>
  <c r="I10" i="7"/>
  <c r="C11" i="3"/>
  <c r="F11" i="3" s="1"/>
  <c r="K10" i="1"/>
  <c r="G4" i="7"/>
  <c r="G8" i="7"/>
  <c r="G7" i="7"/>
  <c r="C21" i="7" s="1"/>
  <c r="G9" i="7"/>
  <c r="C23" i="7" s="1"/>
  <c r="H6" i="3"/>
  <c r="D7" i="3"/>
  <c r="H8" i="3"/>
  <c r="H9" i="3"/>
  <c r="H10" i="3"/>
  <c r="H11" i="3"/>
  <c r="L10" i="3"/>
  <c r="N9" i="3"/>
  <c r="N8" i="3"/>
  <c r="M6" i="3"/>
  <c r="E11" i="3"/>
  <c r="E9" i="3"/>
  <c r="F7" i="3"/>
  <c r="D11" i="3"/>
  <c r="E10" i="3"/>
  <c r="D6" i="3"/>
  <c r="D9" i="3"/>
  <c r="F6" i="3"/>
  <c r="D8" i="3"/>
  <c r="E8" i="3"/>
  <c r="F10" i="3"/>
  <c r="E7" i="3"/>
  <c r="K4" i="1"/>
  <c r="C5" i="3"/>
  <c r="S13" i="3" s="1"/>
  <c r="J21" i="1"/>
  <c r="J26" i="1" s="1"/>
  <c r="I21" i="1"/>
  <c r="I26" i="1" s="1"/>
  <c r="L5" i="1"/>
  <c r="L6" i="1"/>
  <c r="L7" i="1"/>
  <c r="L8" i="1"/>
  <c r="L9" i="1"/>
  <c r="L10" i="1"/>
  <c r="L11" i="1"/>
  <c r="L14" i="1"/>
  <c r="L15" i="1"/>
  <c r="L4" i="1"/>
  <c r="K5" i="1"/>
  <c r="K6" i="1"/>
  <c r="K7" i="1"/>
  <c r="K8" i="1"/>
  <c r="K9" i="1"/>
  <c r="K11" i="1"/>
  <c r="K12" i="1"/>
  <c r="L12" i="1"/>
  <c r="K13" i="1"/>
  <c r="K14" i="1"/>
  <c r="K15" i="1"/>
  <c r="D25" i="7" l="1"/>
  <c r="D22" i="7"/>
  <c r="C22" i="7"/>
  <c r="I8" i="7"/>
  <c r="D23" i="7"/>
  <c r="D21" i="7"/>
  <c r="D24" i="7"/>
  <c r="G13" i="7"/>
  <c r="C18" i="7"/>
  <c r="C27" i="7"/>
  <c r="D20" i="7"/>
  <c r="C19" i="3"/>
  <c r="C25" i="3"/>
  <c r="P6" i="3"/>
  <c r="L7" i="3"/>
  <c r="N11" i="3"/>
  <c r="H5" i="3"/>
  <c r="M7" i="3"/>
  <c r="M10" i="3"/>
  <c r="AF10" i="3" s="1"/>
  <c r="L6" i="3"/>
  <c r="N10" i="3"/>
  <c r="Q10" i="3" s="1"/>
  <c r="L11" i="3"/>
  <c r="M8" i="3"/>
  <c r="N7" i="3"/>
  <c r="L8" i="3"/>
  <c r="M9" i="3"/>
  <c r="N6" i="3"/>
  <c r="L9" i="3"/>
  <c r="M11" i="3"/>
  <c r="D5" i="3"/>
  <c r="E5" i="3"/>
  <c r="AB15" i="3" s="1"/>
  <c r="F5" i="3"/>
  <c r="AC15" i="3" s="1"/>
  <c r="L13" i="1"/>
  <c r="L17" i="1" s="1"/>
  <c r="K21" i="1"/>
  <c r="L21" i="1"/>
  <c r="K17" i="1"/>
  <c r="R11" i="3" l="1"/>
  <c r="AF11" i="3"/>
  <c r="P9" i="3"/>
  <c r="AF9" i="3"/>
  <c r="Q6" i="3"/>
  <c r="AF6" i="3"/>
  <c r="Q8" i="3"/>
  <c r="V8" i="3" s="1"/>
  <c r="AB18" i="3" s="1"/>
  <c r="AF8" i="3"/>
  <c r="P10" i="3"/>
  <c r="AF7" i="3"/>
  <c r="Y3" i="5"/>
  <c r="AH3" i="5"/>
  <c r="AA15" i="3"/>
  <c r="AF15" i="3" s="1"/>
  <c r="Q7" i="3"/>
  <c r="R7" i="3"/>
  <c r="W7" i="3" s="1"/>
  <c r="AC17" i="3" s="1"/>
  <c r="P7" i="3"/>
  <c r="R6" i="3"/>
  <c r="W6" i="3" s="1"/>
  <c r="AC16" i="3" s="1"/>
  <c r="R9" i="3"/>
  <c r="W9" i="3" s="1"/>
  <c r="AC19" i="3" s="1"/>
  <c r="Q9" i="3"/>
  <c r="V9" i="3" s="1"/>
  <c r="AB19" i="3" s="1"/>
  <c r="P11" i="3"/>
  <c r="U11" i="3" s="1"/>
  <c r="AA21" i="3" s="1"/>
  <c r="P8" i="3"/>
  <c r="U8" i="3" s="1"/>
  <c r="AA18" i="3" s="1"/>
  <c r="Q11" i="3"/>
  <c r="V11" i="3" s="1"/>
  <c r="AB21" i="3" s="1"/>
  <c r="R8" i="3"/>
  <c r="W8" i="3" s="1"/>
  <c r="AC18" i="3" s="1"/>
  <c r="R10" i="3"/>
  <c r="W10" i="3" s="1"/>
  <c r="AC20" i="3" s="1"/>
  <c r="V6" i="3"/>
  <c r="AB16" i="3" s="1"/>
  <c r="U9" i="3"/>
  <c r="AA19" i="3" s="1"/>
  <c r="U6" i="3"/>
  <c r="AA16" i="3" s="1"/>
  <c r="U10" i="3"/>
  <c r="AA20" i="3" s="1"/>
  <c r="V10" i="3"/>
  <c r="AB20" i="3" s="1"/>
  <c r="W11" i="3"/>
  <c r="AC21" i="3" s="1"/>
  <c r="M5" i="3"/>
  <c r="N5" i="3"/>
  <c r="L5" i="3"/>
  <c r="H13" i="3"/>
  <c r="L26" i="1"/>
  <c r="K26" i="1"/>
  <c r="V7" i="3" l="1"/>
  <c r="AB17" i="3" s="1"/>
  <c r="AF5" i="3"/>
  <c r="AF13" i="3" s="1"/>
  <c r="C17" i="3" s="1"/>
  <c r="R5" i="3"/>
  <c r="Q5" i="3"/>
  <c r="Y8" i="5"/>
  <c r="AF20" i="3"/>
  <c r="AF21" i="3"/>
  <c r="AF18" i="3"/>
  <c r="AF16" i="3"/>
  <c r="AF19" i="3"/>
  <c r="Z9" i="3"/>
  <c r="AC9" i="3" s="1"/>
  <c r="Z8" i="3"/>
  <c r="AC8" i="3" s="1"/>
  <c r="Z7" i="3"/>
  <c r="AC7" i="3" s="1"/>
  <c r="Z6" i="3"/>
  <c r="AC6" i="3" s="1"/>
  <c r="X8" i="3"/>
  <c r="AA8" i="3" s="1"/>
  <c r="Y11" i="3"/>
  <c r="AB11" i="3" s="1"/>
  <c r="Y6" i="3"/>
  <c r="AB6" i="3" s="1"/>
  <c r="X11" i="3"/>
  <c r="AA11" i="3" s="1"/>
  <c r="X10" i="3"/>
  <c r="AA10" i="3" s="1"/>
  <c r="Z11" i="3"/>
  <c r="AC11" i="3" s="1"/>
  <c r="X9" i="3"/>
  <c r="AA9" i="3" s="1"/>
  <c r="Y7" i="3"/>
  <c r="AB7" i="3" s="1"/>
  <c r="Y9" i="3"/>
  <c r="AB9" i="3" s="1"/>
  <c r="Y10" i="3"/>
  <c r="AB10" i="3" s="1"/>
  <c r="Y8" i="3"/>
  <c r="AB8" i="3" s="1"/>
  <c r="X6" i="3"/>
  <c r="AA6" i="3" s="1"/>
  <c r="Z10" i="3"/>
  <c r="AC10" i="3" s="1"/>
  <c r="T9" i="3"/>
  <c r="O7" i="3"/>
  <c r="T8" i="3"/>
  <c r="T6" i="3"/>
  <c r="T10" i="3"/>
  <c r="O6" i="3"/>
  <c r="T11" i="3"/>
  <c r="O8" i="3"/>
  <c r="O9" i="3"/>
  <c r="U7" i="3"/>
  <c r="O10" i="3"/>
  <c r="O11" i="3"/>
  <c r="M26" i="1"/>
  <c r="L27" i="1" s="1"/>
  <c r="L29" i="1" s="1"/>
  <c r="L34" i="1" s="1"/>
  <c r="L36" i="1" s="1"/>
  <c r="L38" i="1" s="1"/>
  <c r="R13" i="3" l="1"/>
  <c r="C18" i="3" s="1"/>
  <c r="C21" i="3" s="1"/>
  <c r="AA17" i="3"/>
  <c r="AF17" i="3" s="1"/>
  <c r="T7" i="3"/>
  <c r="O5" i="3"/>
  <c r="Y6" i="5"/>
  <c r="Y12" i="5" s="1"/>
  <c r="AH6" i="5"/>
  <c r="AH9" i="5" s="1"/>
  <c r="AC23" i="3" a="1"/>
  <c r="AC23" i="3" s="1"/>
  <c r="AF23" i="3"/>
  <c r="AD8" i="3"/>
  <c r="AD9" i="3"/>
  <c r="AD11" i="3"/>
  <c r="AD6" i="3"/>
  <c r="AD10" i="3"/>
  <c r="X7" i="3"/>
  <c r="AA7" i="3" s="1"/>
  <c r="AD7" i="3" s="1"/>
  <c r="X5" i="3"/>
  <c r="Y5" i="3"/>
  <c r="AB5" i="3" s="1"/>
  <c r="Z5" i="3"/>
  <c r="T5" i="3"/>
  <c r="K27" i="1"/>
  <c r="K29" i="1" s="1"/>
  <c r="K34" i="1" s="1"/>
  <c r="AH11" i="5" l="1"/>
  <c r="AE5" i="5" s="1"/>
  <c r="AC5" i="5"/>
  <c r="T5" i="5"/>
  <c r="V5" i="5" s="1"/>
  <c r="Y14" i="5"/>
  <c r="AA5" i="3"/>
  <c r="AC5" i="3"/>
  <c r="M29" i="1"/>
  <c r="M34" i="1"/>
  <c r="K36" i="1"/>
  <c r="K38" i="1" s="1"/>
  <c r="AD5" i="3" l="1"/>
  <c r="S15" i="3" s="1"/>
  <c r="F4" i="5" s="1"/>
  <c r="S16" i="3"/>
  <c r="G4" i="5" s="1"/>
  <c r="C23" i="3" a="1"/>
  <c r="C23" i="3" s="1"/>
  <c r="D23" i="3" s="1"/>
  <c r="H4" i="5" l="1"/>
  <c r="AD13" i="3"/>
  <c r="C24" i="3" s="1"/>
  <c r="D24" i="3" s="1"/>
  <c r="S17" i="3"/>
  <c r="C27" i="3" l="1"/>
  <c r="D27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<sst xmlns="http://schemas.openxmlformats.org/spreadsheetml/2006/main" count="353" uniqueCount="147">
  <si>
    <t>Sr No</t>
  </si>
  <si>
    <t>Assembly Description</t>
  </si>
  <si>
    <t>Lead Time</t>
  </si>
  <si>
    <t>Lot Size</t>
  </si>
  <si>
    <t>Quality Factor</t>
  </si>
  <si>
    <t>Price</t>
  </si>
  <si>
    <t>Supplier #1</t>
  </si>
  <si>
    <t>Supplier #2</t>
  </si>
  <si>
    <t>Supplier #3</t>
  </si>
  <si>
    <t>Transformer1</t>
  </si>
  <si>
    <t>Assembly Name</t>
  </si>
  <si>
    <t>Transformer2</t>
  </si>
  <si>
    <t>Step Down- Rectifier</t>
  </si>
  <si>
    <t>Step Up- Inverter</t>
  </si>
  <si>
    <t>Battery</t>
  </si>
  <si>
    <t>H Bridge</t>
  </si>
  <si>
    <t>Rectifier</t>
  </si>
  <si>
    <t>Filters</t>
  </si>
  <si>
    <t>AC, DC</t>
  </si>
  <si>
    <t>Regulator &amp; Control Assembly</t>
  </si>
  <si>
    <t>Std/Prem/Both</t>
  </si>
  <si>
    <t>Std</t>
  </si>
  <si>
    <t>Prem</t>
  </si>
  <si>
    <t>Both</t>
  </si>
  <si>
    <t>Model</t>
  </si>
  <si>
    <t>Touchscreen display</t>
  </si>
  <si>
    <t>Mobile interface module</t>
  </si>
  <si>
    <t>Enhanced Diagnostics module</t>
  </si>
  <si>
    <t>Basic User Controls Module</t>
  </si>
  <si>
    <t>Make/Buy</t>
  </si>
  <si>
    <t>Make_Buy</t>
  </si>
  <si>
    <t>Make</t>
  </si>
  <si>
    <t>Buy</t>
  </si>
  <si>
    <t>Cost(Prem Model) per unit</t>
  </si>
  <si>
    <t>Quantity per year(Std)</t>
  </si>
  <si>
    <t>Quantity per year(Premium)</t>
  </si>
  <si>
    <t>Cost (Std Model) per year</t>
  </si>
  <si>
    <t>Cost (Prem Model) per year</t>
  </si>
  <si>
    <t>Labour Cost</t>
  </si>
  <si>
    <t>Supplier Inward Quality Check</t>
  </si>
  <si>
    <t>Assembly</t>
  </si>
  <si>
    <t>Testing</t>
  </si>
  <si>
    <t>M-Hrs</t>
  </si>
  <si>
    <t>Rent</t>
  </si>
  <si>
    <t>Electricity</t>
  </si>
  <si>
    <t>Setup</t>
  </si>
  <si>
    <t>Total Material + Labour</t>
  </si>
  <si>
    <t>Fixed Cost per year</t>
  </si>
  <si>
    <t>Total Net Cost</t>
  </si>
  <si>
    <t>Net Cost per unit</t>
  </si>
  <si>
    <t>Net Price per unit</t>
  </si>
  <si>
    <t>Est_Prem_Vol</t>
  </si>
  <si>
    <t>Est_Std_Vol</t>
  </si>
  <si>
    <t>Max Lead Time (weeks)</t>
  </si>
  <si>
    <t>Avg Lead Time (weeks)</t>
  </si>
  <si>
    <t>Weighted Avg</t>
  </si>
  <si>
    <t>Supp1_wt</t>
  </si>
  <si>
    <t>Supp2_wt</t>
  </si>
  <si>
    <t>Supp3_wt</t>
  </si>
  <si>
    <t>D</t>
  </si>
  <si>
    <t>S</t>
  </si>
  <si>
    <t>H</t>
  </si>
  <si>
    <t>Total</t>
  </si>
  <si>
    <t>Wtd Avg</t>
  </si>
  <si>
    <t>Supp1_MOQ</t>
  </si>
  <si>
    <t>Supp2_MOQ</t>
  </si>
  <si>
    <t>Supp3_MOQ</t>
  </si>
  <si>
    <t>MOQ</t>
  </si>
  <si>
    <t>Est # of Orders per Yr</t>
  </si>
  <si>
    <t>Supp1_S_Pct</t>
  </si>
  <si>
    <t>Supp2_S_Pct</t>
  </si>
  <si>
    <t>Supp3_S_Pct</t>
  </si>
  <si>
    <t>Supp1_H_Pct</t>
  </si>
  <si>
    <t>Supp2_H_Pct</t>
  </si>
  <si>
    <t>Supp3_H_Pct</t>
  </si>
  <si>
    <t>EOQ</t>
  </si>
  <si>
    <t>Wtd Avg Unit</t>
  </si>
  <si>
    <t>Unit</t>
  </si>
  <si>
    <t>Target Cost</t>
  </si>
  <si>
    <t>Actual Purchase Cost</t>
  </si>
  <si>
    <t>Optimised S</t>
  </si>
  <si>
    <t>EOQ in Multiples of MOQ</t>
  </si>
  <si>
    <t>Actual # of Orders per Yr</t>
  </si>
  <si>
    <t>Overall Inventory Costs</t>
  </si>
  <si>
    <t>Material (D)</t>
  </si>
  <si>
    <t>Ordering (S)</t>
  </si>
  <si>
    <t>Holding (H)</t>
  </si>
  <si>
    <t>Before EOQ</t>
  </si>
  <si>
    <t>After EOQ</t>
  </si>
  <si>
    <t>Qty</t>
  </si>
  <si>
    <t>S+H</t>
  </si>
  <si>
    <t>Unit S (per Order)</t>
  </si>
  <si>
    <t>Unit H</t>
  </si>
  <si>
    <t>Encl H</t>
  </si>
  <si>
    <t>Encl S</t>
  </si>
  <si>
    <t>345_415_375</t>
  </si>
  <si>
    <t>Q</t>
  </si>
  <si>
    <t>C</t>
  </si>
  <si>
    <t>h</t>
  </si>
  <si>
    <t>s</t>
  </si>
  <si>
    <t>EOQ for Sample BOM Item</t>
  </si>
  <si>
    <t>Inventory Cost (Excl material cost)</t>
  </si>
  <si>
    <t>Demand</t>
  </si>
  <si>
    <t>Unit material cost</t>
  </si>
  <si>
    <t>Carrying cost as % of material cost</t>
  </si>
  <si>
    <t>Order cost per order</t>
  </si>
  <si>
    <t>Units qty in an order</t>
  </si>
  <si>
    <t>Total inventory cost (excl material cost)</t>
  </si>
  <si>
    <t>Encl S+H</t>
  </si>
  <si>
    <t>Supplier Mix (Qty per Order)</t>
  </si>
  <si>
    <t>Qty per Order</t>
  </si>
  <si>
    <t>EOQ w/ Supplier Mix</t>
  </si>
  <si>
    <t>Supplier Mix</t>
  </si>
  <si>
    <t>Target Unit Cost</t>
  </si>
  <si>
    <t>Qty per Unit</t>
  </si>
  <si>
    <t>Enclosure + Accessories</t>
  </si>
  <si>
    <t>Lead Time (Wks)</t>
  </si>
  <si>
    <t>ROP</t>
  </si>
  <si>
    <t>Safety Stock (12% of Demand)</t>
  </si>
  <si>
    <t>Qty per Yr</t>
  </si>
  <si>
    <t>Total Target Cost</t>
  </si>
  <si>
    <t>A/B/C Classification</t>
  </si>
  <si>
    <t>Cumulative %</t>
  </si>
  <si>
    <t>ABC_Class</t>
  </si>
  <si>
    <t>A</t>
  </si>
  <si>
    <t>B</t>
  </si>
  <si>
    <t>Cost Weight %</t>
  </si>
  <si>
    <t>A/B/C Classification &amp; Analysis</t>
  </si>
  <si>
    <t>Avg Demand (per Wk)</t>
  </si>
  <si>
    <t>Demand (per Wk)</t>
  </si>
  <si>
    <t>ROP Variation by LT &amp; Demand</t>
  </si>
  <si>
    <t>Wtd Avg Unit material cost</t>
  </si>
  <si>
    <t>Blended Avg MOQ</t>
  </si>
  <si>
    <t>Cumulative Cost Weight %</t>
  </si>
  <si>
    <t># of orders</t>
  </si>
  <si>
    <t>n</t>
  </si>
  <si>
    <t>QM</t>
  </si>
  <si>
    <t>Qty rounded to multiple of MOQ</t>
  </si>
  <si>
    <t>Total ordering cost (D/Q*s)</t>
  </si>
  <si>
    <t>Total holding cost ((Q/2)*C*h)</t>
  </si>
  <si>
    <t>Total ordering cost (D/QM*s)</t>
  </si>
  <si>
    <t>Supplier Mix for an Item</t>
  </si>
  <si>
    <t>Total holding cost ((QM/2)*C*h)</t>
  </si>
  <si>
    <t>EOQ_Y</t>
  </si>
  <si>
    <t>EOQ_X</t>
  </si>
  <si>
    <t>Qty per Yr (Prem)</t>
  </si>
  <si>
    <t>Qty per Yr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</si>
</sst>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;[Red]\-#,##0.000"/>
    <numFmt numFmtId="165" formatCode="#,##0.0_);[Red]\(#,##0.0\)"/>
    <numFmt numFmtId="166" formatCode="0.0_)\ %;[Red]\(0.0\)\ %"/>
    <numFmt numFmtId="167" formatCode="#,##0.0;[Red]\-#,##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/>
    <xf numFmtId="0" fontId="0" fillId="2" borderId="0" xfId="0" applyFill="1"/>
    <xf numFmtId="38" fontId="0" fillId="0" borderId="0" xfId="0" applyNumberFormat="1"/>
    <xf numFmtId="4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0" fontId="0" fillId="0" borderId="1" xfId="0" applyFill="1" applyBorder="1" applyAlignment="1">
      <alignment horizontal="center" textRotation="90"/>
    </xf>
    <xf numFmtId="0" fontId="0" fillId="3" borderId="0" xfId="0" applyFill="1"/>
    <xf numFmtId="38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/>
    <xf numFmtId="38" fontId="0" fillId="0" borderId="1" xfId="0" applyNumberFormat="1" applyBorder="1"/>
    <xf numFmtId="38" fontId="0" fillId="0" borderId="8" xfId="0" applyNumberFormat="1" applyBorder="1"/>
    <xf numFmtId="38" fontId="0" fillId="0" borderId="16" xfId="0" applyNumberFormat="1" applyBorder="1"/>
    <xf numFmtId="38" fontId="0" fillId="0" borderId="17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38" fontId="0" fillId="0" borderId="21" xfId="0" applyNumberFormat="1" applyBorder="1"/>
    <xf numFmtId="38" fontId="0" fillId="0" borderId="6" xfId="0" applyNumberFormat="1" applyBorder="1"/>
    <xf numFmtId="38" fontId="0" fillId="0" borderId="22" xfId="0" applyNumberFormat="1" applyBorder="1"/>
    <xf numFmtId="38" fontId="0" fillId="0" borderId="13" xfId="0" applyNumberFormat="1" applyBorder="1"/>
    <xf numFmtId="38" fontId="0" fillId="0" borderId="14" xfId="0" applyNumberFormat="1" applyBorder="1"/>
    <xf numFmtId="38" fontId="0" fillId="0" borderId="15" xfId="0" applyNumberFormat="1" applyBorder="1"/>
    <xf numFmtId="165" fontId="0" fillId="0" borderId="1" xfId="0" applyNumberFormat="1" applyBorder="1"/>
    <xf numFmtId="0" fontId="0" fillId="0" borderId="9" xfId="0" applyBorder="1"/>
    <xf numFmtId="0" fontId="0" fillId="0" borderId="17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12" xfId="0" applyBorder="1"/>
    <xf numFmtId="0" fontId="2" fillId="2" borderId="7" xfId="0" applyFont="1" applyFill="1" applyBorder="1"/>
    <xf numFmtId="0" fontId="2" fillId="2" borderId="16" xfId="0" applyFont="1" applyFill="1" applyBorder="1"/>
    <xf numFmtId="0" fontId="2" fillId="2" borderId="10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2" borderId="14" xfId="0" applyFont="1" applyFill="1" applyBorder="1" applyAlignment="1">
      <alignment horizontal="center"/>
    </xf>
    <xf numFmtId="38" fontId="2" fillId="0" borderId="14" xfId="0" applyNumberFormat="1" applyFont="1" applyBorder="1"/>
    <xf numFmtId="166" fontId="2" fillId="0" borderId="14" xfId="0" applyNumberFormat="1" applyFont="1" applyBorder="1"/>
    <xf numFmtId="0" fontId="0" fillId="0" borderId="0" xfId="0" applyBorder="1" applyAlignment="1">
      <alignment horizontal="center"/>
    </xf>
    <xf numFmtId="0" fontId="0" fillId="4" borderId="7" xfId="0" applyFill="1" applyBorder="1"/>
    <xf numFmtId="38" fontId="0" fillId="4" borderId="8" xfId="0" applyNumberFormat="1" applyFill="1" applyBorder="1"/>
    <xf numFmtId="166" fontId="0" fillId="4" borderId="8" xfId="0" applyNumberFormat="1" applyFill="1" applyBorder="1"/>
    <xf numFmtId="0" fontId="0" fillId="4" borderId="8" xfId="0" applyFill="1" applyBorder="1" applyAlignment="1">
      <alignment horizontal="center"/>
    </xf>
    <xf numFmtId="0" fontId="0" fillId="4" borderId="16" xfId="0" applyFill="1" applyBorder="1"/>
    <xf numFmtId="38" fontId="0" fillId="4" borderId="1" xfId="0" applyNumberFormat="1" applyFill="1" applyBorder="1"/>
    <xf numFmtId="16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6" xfId="0" applyFill="1" applyBorder="1"/>
    <xf numFmtId="38" fontId="0" fillId="5" borderId="1" xfId="0" applyNumberFormat="1" applyFill="1" applyBorder="1"/>
    <xf numFmtId="166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6" borderId="16" xfId="0" applyFill="1" applyBorder="1"/>
    <xf numFmtId="38" fontId="0" fillId="6" borderId="1" xfId="0" applyNumberFormat="1" applyFill="1" applyBorder="1"/>
    <xf numFmtId="166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6" borderId="10" xfId="0" applyFill="1" applyBorder="1"/>
    <xf numFmtId="38" fontId="0" fillId="6" borderId="11" xfId="0" applyNumberFormat="1" applyFill="1" applyBorder="1"/>
    <xf numFmtId="166" fontId="0" fillId="6" borderId="11" xfId="0" applyNumberFormat="1" applyFill="1" applyBorder="1"/>
    <xf numFmtId="0" fontId="0" fillId="6" borderId="11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2" borderId="7" xfId="0" applyFill="1" applyBorder="1"/>
    <xf numFmtId="38" fontId="0" fillId="0" borderId="9" xfId="0" applyNumberFormat="1" applyBorder="1"/>
    <xf numFmtId="0" fontId="0" fillId="2" borderId="16" xfId="0" applyFill="1" applyBorder="1"/>
    <xf numFmtId="0" fontId="0" fillId="2" borderId="10" xfId="0" applyFill="1" applyBorder="1"/>
    <xf numFmtId="0" fontId="0" fillId="2" borderId="13" xfId="0" applyFill="1" applyBorder="1"/>
    <xf numFmtId="0" fontId="0" fillId="0" borderId="15" xfId="0" applyBorder="1"/>
    <xf numFmtId="0" fontId="0" fillId="0" borderId="0" xfId="0"/>
    <xf numFmtId="166" fontId="0" fillId="0" borderId="0" xfId="0" applyNumberFormat="1"/>
    <xf numFmtId="0" fontId="2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0" xfId="0" applyAlignment="1">
      <alignment wrapText="1"/>
    </xf>
    <xf numFmtId="38" fontId="2" fillId="2" borderId="33" xfId="0" applyNumberFormat="1" applyFont="1" applyFill="1" applyBorder="1"/>
    <xf numFmtId="38" fontId="2" fillId="2" borderId="34" xfId="0" applyNumberFormat="1" applyFont="1" applyFill="1" applyBorder="1"/>
    <xf numFmtId="38" fontId="0" fillId="0" borderId="7" xfId="0" applyNumberFormat="1" applyBorder="1"/>
    <xf numFmtId="38" fontId="2" fillId="2" borderId="28" xfId="0" applyNumberFormat="1" applyFont="1" applyFill="1" applyBorder="1"/>
    <xf numFmtId="38" fontId="2" fillId="2" borderId="29" xfId="0" applyNumberFormat="1" applyFont="1" applyFill="1" applyBorder="1"/>
    <xf numFmtId="38" fontId="2" fillId="2" borderId="36" xfId="0" applyNumberFormat="1" applyFont="1" applyFill="1" applyBorder="1"/>
    <xf numFmtId="38" fontId="2" fillId="2" borderId="37" xfId="0" applyNumberFormat="1" applyFont="1" applyFill="1" applyBorder="1"/>
    <xf numFmtId="0" fontId="2" fillId="5" borderId="30" xfId="0" applyFont="1" applyFill="1" applyBorder="1" applyAlignment="1">
      <alignment horizontal="center"/>
    </xf>
    <xf numFmtId="38" fontId="2" fillId="5" borderId="32" xfId="0" applyNumberFormat="1" applyFont="1" applyFill="1" applyBorder="1"/>
    <xf numFmtId="167" fontId="0" fillId="0" borderId="1" xfId="0" applyNumberFormat="1" applyBorder="1"/>
    <xf numFmtId="0" fontId="0" fillId="0" borderId="1" xfId="0" applyBorder="1"/>
    <xf numFmtId="0" fontId="0" fillId="0" borderId="12" xfId="0" applyFill="1" applyBorder="1"/>
    <xf numFmtId="0" fontId="0" fillId="0" borderId="8" xfId="0" applyBorder="1"/>
    <xf numFmtId="0" fontId="0" fillId="0" borderId="0" xfId="0"/>
    <xf numFmtId="166" fontId="0" fillId="4" borderId="9" xfId="0" applyNumberFormat="1" applyFill="1" applyBorder="1" applyAlignment="1">
      <alignment vertical="center"/>
    </xf>
    <xf numFmtId="166" fontId="0" fillId="4" borderId="17" xfId="0" applyNumberFormat="1" applyFill="1" applyBorder="1" applyAlignment="1">
      <alignment vertical="center"/>
    </xf>
    <xf numFmtId="166" fontId="0" fillId="5" borderId="17" xfId="0" applyNumberFormat="1" applyFill="1" applyBorder="1" applyAlignment="1">
      <alignment vertical="center"/>
    </xf>
    <xf numFmtId="166" fontId="0" fillId="6" borderId="17" xfId="0" applyNumberFormat="1" applyFill="1" applyBorder="1" applyAlignment="1">
      <alignment vertical="center"/>
    </xf>
    <xf numFmtId="166" fontId="0" fillId="6" borderId="12" xfId="0" applyNumberForma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 textRotation="90"/>
    </xf>
    <xf numFmtId="0" fontId="2" fillId="2" borderId="31" xfId="0" applyFont="1" applyFill="1" applyBorder="1" applyAlignment="1">
      <alignment horizontal="center" vertical="center" textRotation="90"/>
    </xf>
    <xf numFmtId="0" fontId="2" fillId="2" borderId="32" xfId="0" applyFont="1" applyFill="1" applyBorder="1" applyAlignment="1">
      <alignment horizontal="center" vertical="center" textRotation="90"/>
    </xf>
    <xf numFmtId="0" fontId="2" fillId="2" borderId="3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1" xfId="0" applyFont="1" applyFill="1" applyBorder="1" applyAlignment="1">
      <alignment textRotation="90"/>
    </xf>
    <xf numFmtId="0" fontId="2" fillId="2" borderId="12" xfId="0" applyFont="1" applyFill="1" applyBorder="1" applyAlignment="1">
      <alignment textRotation="90"/>
    </xf>
    <xf numFmtId="0" fontId="2" fillId="2" borderId="8" xfId="0" applyFont="1" applyFill="1" applyBorder="1" applyAlignment="1">
      <alignment textRotation="90"/>
    </xf>
    <xf numFmtId="0" fontId="2" fillId="2" borderId="11" xfId="0" applyFont="1" applyFill="1" applyBorder="1" applyAlignment="1">
      <alignment textRotation="90"/>
    </xf>
    <xf numFmtId="38" fontId="0" fillId="0" borderId="0" xfId="0" applyNumberFormat="1" applyBorder="1"/>
    <xf numFmtId="164" fontId="0" fillId="0" borderId="0" xfId="0" applyNumberFormat="1" applyBorder="1"/>
    <xf numFmtId="40" fontId="0" fillId="0" borderId="0" xfId="0" applyNumberFormat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16" xfId="0" applyBorder="1"/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EOQ_Sim!$AB$3</c:f>
          <c:strCache>
            <c:ptCount val="1"/>
            <c:pt idx="0">
              <c:v>EOQ for Sample BOM Item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EOQ_Sim!$AC$4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EOQ_Sim!$AB$6:$AB$29</c:f>
              <c:numCache>
                <c:formatCode>#,##0_);[Red]\(#,##0\)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EOQ_Sim!$AC$6:$AC$29</c:f>
              <c:numCache>
                <c:formatCode>#,##0_);[Red]\(#,##0\)</c:formatCode>
                <c:ptCount val="24"/>
                <c:pt idx="0">
                  <c:v>65712</c:v>
                </c:pt>
                <c:pt idx="1">
                  <c:v>32856</c:v>
                </c:pt>
                <c:pt idx="2">
                  <c:v>21904</c:v>
                </c:pt>
                <c:pt idx="3">
                  <c:v>16428</c:v>
                </c:pt>
                <c:pt idx="4">
                  <c:v>13142.4</c:v>
                </c:pt>
                <c:pt idx="5">
                  <c:v>10952</c:v>
                </c:pt>
                <c:pt idx="6">
                  <c:v>9387.4285714285706</c:v>
                </c:pt>
                <c:pt idx="7">
                  <c:v>8214</c:v>
                </c:pt>
                <c:pt idx="8">
                  <c:v>7301.333333333333</c:v>
                </c:pt>
                <c:pt idx="9">
                  <c:v>6571.2</c:v>
                </c:pt>
                <c:pt idx="10">
                  <c:v>5973.8181818181811</c:v>
                </c:pt>
                <c:pt idx="11">
                  <c:v>5476</c:v>
                </c:pt>
                <c:pt idx="12">
                  <c:v>5054.7692307692314</c:v>
                </c:pt>
                <c:pt idx="13">
                  <c:v>4693.7142857142853</c:v>
                </c:pt>
                <c:pt idx="14">
                  <c:v>4380.8</c:v>
                </c:pt>
                <c:pt idx="15">
                  <c:v>4107</c:v>
                </c:pt>
                <c:pt idx="16">
                  <c:v>3865.4117647058824</c:v>
                </c:pt>
                <c:pt idx="17">
                  <c:v>3650.6666666666665</c:v>
                </c:pt>
                <c:pt idx="18">
                  <c:v>3458.5263157894733</c:v>
                </c:pt>
                <c:pt idx="19">
                  <c:v>3285.6</c:v>
                </c:pt>
                <c:pt idx="20">
                  <c:v>3129.1428571428569</c:v>
                </c:pt>
                <c:pt idx="21">
                  <c:v>2986.9090909090905</c:v>
                </c:pt>
                <c:pt idx="22">
                  <c:v>2857.0434782608695</c:v>
                </c:pt>
                <c:pt idx="23">
                  <c:v>2738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E5-49F6-9EF3-7512BB9A5B38}"/>
            </c:ext>
          </c:extLst>
        </c:ser>
        <c:ser>
          <c:idx val="1"/>
          <c:order val="1"/>
          <c:tx>
            <c:strRef>
              <c:f>EOQ_Sim!$AD$4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EOQ_Sim!$AB$6:$AB$29</c:f>
              <c:numCache>
                <c:formatCode>#,##0_);[Red]\(#,##0\)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EOQ_Sim!$AD$6:$AD$29</c:f>
              <c:numCache>
                <c:formatCode>#,##0_);[Red]\(#,##0\)</c:formatCode>
                <c:ptCount val="24"/>
                <c:pt idx="0">
                  <c:v>2750</c:v>
                </c:pt>
                <c:pt idx="1">
                  <c:v>5500</c:v>
                </c:pt>
                <c:pt idx="2">
                  <c:v>8250</c:v>
                </c:pt>
                <c:pt idx="3">
                  <c:v>11000</c:v>
                </c:pt>
                <c:pt idx="4">
                  <c:v>13750</c:v>
                </c:pt>
                <c:pt idx="5">
                  <c:v>16500</c:v>
                </c:pt>
                <c:pt idx="6">
                  <c:v>19250</c:v>
                </c:pt>
                <c:pt idx="7">
                  <c:v>22000</c:v>
                </c:pt>
                <c:pt idx="8">
                  <c:v>24750</c:v>
                </c:pt>
                <c:pt idx="9">
                  <c:v>27500</c:v>
                </c:pt>
                <c:pt idx="10">
                  <c:v>30250</c:v>
                </c:pt>
                <c:pt idx="11">
                  <c:v>33000</c:v>
                </c:pt>
                <c:pt idx="12">
                  <c:v>35750</c:v>
                </c:pt>
                <c:pt idx="13">
                  <c:v>38500</c:v>
                </c:pt>
                <c:pt idx="14">
                  <c:v>41250</c:v>
                </c:pt>
                <c:pt idx="15">
                  <c:v>44000</c:v>
                </c:pt>
                <c:pt idx="16">
                  <c:v>46750</c:v>
                </c:pt>
                <c:pt idx="17">
                  <c:v>49500</c:v>
                </c:pt>
                <c:pt idx="18">
                  <c:v>52250</c:v>
                </c:pt>
                <c:pt idx="19">
                  <c:v>55000</c:v>
                </c:pt>
                <c:pt idx="20">
                  <c:v>57750</c:v>
                </c:pt>
                <c:pt idx="21">
                  <c:v>60500</c:v>
                </c:pt>
                <c:pt idx="22">
                  <c:v>63250</c:v>
                </c:pt>
                <c:pt idx="23">
                  <c:v>66000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E5-49F6-9EF3-7512BB9A5B38}"/>
            </c:ext>
          </c:extLst>
        </c:ser>
        <c:ser>
          <c:idx val="2"/>
          <c:order val="2"/>
          <c:tx>
            <c:strRef>
              <c:f>EOQ_Sim!$AE$4</c:f>
              <c:strCache>
                <c:ptCount val="1"/>
                <c:pt idx="0">
                  <c:v>S+H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EOQ_Sim!$AB$6:$AB$29</c:f>
              <c:numCache>
                <c:formatCode>#,##0_);[Red]\(#,##0\)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EOQ_Sim!$AE$6:$AE$29</c:f>
              <c:numCache>
                <c:formatCode>#,##0_);[Red]\(#,##0\)</c:formatCode>
                <c:ptCount val="24"/>
                <c:pt idx="0">
                  <c:v>68462</c:v>
                </c:pt>
                <c:pt idx="1">
                  <c:v>38356</c:v>
                </c:pt>
                <c:pt idx="2">
                  <c:v>30154</c:v>
                </c:pt>
                <c:pt idx="3">
                  <c:v>27428</c:v>
                </c:pt>
                <c:pt idx="4">
                  <c:v>26892.400000000001</c:v>
                </c:pt>
                <c:pt idx="5">
                  <c:v>27452</c:v>
                </c:pt>
                <c:pt idx="6">
                  <c:v>28637.428571428572</c:v>
                </c:pt>
                <c:pt idx="7">
                  <c:v>30214</c:v>
                </c:pt>
                <c:pt idx="8">
                  <c:v>32051.333333333332</c:v>
                </c:pt>
                <c:pt idx="9">
                  <c:v>34071.199999999997</c:v>
                </c:pt>
                <c:pt idx="10">
                  <c:v>36223.818181818184</c:v>
                </c:pt>
                <c:pt idx="11">
                  <c:v>38476</c:v>
                </c:pt>
                <c:pt idx="12">
                  <c:v>40804.769230769234</c:v>
                </c:pt>
                <c:pt idx="13">
                  <c:v>43193.714285714283</c:v>
                </c:pt>
                <c:pt idx="14">
                  <c:v>45630.8</c:v>
                </c:pt>
                <c:pt idx="15">
                  <c:v>48107</c:v>
                </c:pt>
                <c:pt idx="16">
                  <c:v>50615.411764705881</c:v>
                </c:pt>
                <c:pt idx="17">
                  <c:v>53150.666666666664</c:v>
                </c:pt>
                <c:pt idx="18">
                  <c:v>55708.526315789473</c:v>
                </c:pt>
                <c:pt idx="19">
                  <c:v>58285.599999999999</c:v>
                </c:pt>
                <c:pt idx="20">
                  <c:v>60879.142857142855</c:v>
                </c:pt>
                <c:pt idx="21">
                  <c:v>63486.909090909088</c:v>
                </c:pt>
                <c:pt idx="22">
                  <c:v>66107.043478260865</c:v>
                </c:pt>
                <c:pt idx="23">
                  <c:v>68738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E5-49F6-9EF3-7512BB9A5B38}"/>
            </c:ext>
          </c:extLst>
        </c:ser>
        <c:ser>
          <c:idx val="3"/>
          <c:order val="3"/>
          <c:tx>
            <c:v>EOQ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2700" cap="flat" cmpd="sng" algn="ctr">
                <a:solidFill>
                  <a:srgbClr val="C00000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2700" cap="flat" cmpd="sng" algn="ctr">
                <a:solidFill>
                  <a:srgbClr val="C00000"/>
                </a:solidFill>
                <a:prstDash val="dash"/>
                <a:round/>
              </a:ln>
              <a:effectLst/>
            </c:spPr>
          </c:errBars>
          <c:xVal>
            <c:numRef>
              <c:f>EOQ_Sim!$AH$14</c:f>
              <c:numCache>
                <c:formatCode>General</c:formatCode>
                <c:ptCount val="1"/>
                <c:pt idx="0">
                  <c:v>500</c:v>
                </c:pt>
              </c:numCache>
            </c:numRef>
          </c:xVal>
          <c:yVal>
            <c:numRef>
              <c:f>EOQ_Sim!$AH$13</c:f>
              <c:numCache>
                <c:formatCode>#,##0_);[Red]\(#,##0\)</c:formatCode>
                <c:ptCount val="1"/>
                <c:pt idx="0">
                  <c:v>26892.400000000001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44264"/>
        <c:axId val="327939168"/>
      </c:scatterChart>
      <c:valAx>
        <c:axId val="32794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EOQ_Sim!$AG$1</c:f>
              <c:strCache>
                <c:ptCount val="1"/>
                <c:pt idx="0">
                  <c:v>Qty per Order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39168"/>
        <c:crosses val="autoZero"/>
        <c:crossBetween val="midCat"/>
      </c:valAx>
      <c:valAx>
        <c:axId val="3279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EOQ_Sim!$AH$1</c:f>
              <c:strCache>
                <c:ptCount val="1"/>
                <c:pt idx="0">
                  <c:v>Inventory Cost (Excl material cost)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44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EOQ_Sim!$J$2</c:f>
          <c:strCache>
            <c:ptCount val="1"/>
            <c:pt idx="0">
              <c:v>EOQ w/ Supplier Mix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EOQ_Sim!$F$2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EOQ_Sim!$F$5:$F$28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74-49A3-A38E-E929EBA4EC8E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EOQ_Sim!$E$5:$E$28</c15:sqref>
                        </c15:formulaRef>
                      </c:ext>
                    </c:extLst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EOQ_Sim!$G$2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EOQ_Sim!$G$5:$G$28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74-49A3-A38E-E929EBA4EC8E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EOQ_Sim!$E$5:$E$28</c15:sqref>
                        </c15:formulaRef>
                      </c:ext>
                    </c:extLst>
                  </c:strRef>
                </c15:cat>
              </c15:filteredCategoryTitle>
            </c:ext>
          </c:extLst>
        </c:ser>
        <c:ser>
          <c:idx val="2"/>
          <c:order val="2"/>
          <c:tx>
            <c:strRef>
              <c:f>EOQ_Sim!$H$2</c:f>
              <c:strCache>
                <c:ptCount val="1"/>
                <c:pt idx="0">
                  <c:v>S+H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EOQ_Sim!$H$5:$H$28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F74-49A3-A38E-E929EBA4EC8E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EOQ_Sim!$E$5:$E$28</c15:sqref>
                        </c15:formulaRef>
                      </c:ext>
                    </c:extLst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943088"/>
        <c:axId val="327939560"/>
      </c:lineChart>
      <c:catAx>
        <c:axId val="327943088"/>
        <c:scaling>
          <c:orientation val="minMax"/>
        </c:scaling>
        <c:delete val="0"/>
        <c:axPos val="b"/>
        <c:title>
          <c:tx>
            <c:strRef>
              <c:f>EOQ_Sim!$J$1</c:f>
              <c:strCache>
                <c:ptCount val="1"/>
                <c:pt idx="0">
                  <c:v>Supplier Mix (Qty per Order)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39560"/>
        <c:crosses val="autoZero"/>
        <c:auto val="1"/>
        <c:lblAlgn val="ctr"/>
        <c:lblOffset val="100"/>
        <c:noMultiLvlLbl val="0"/>
      </c:catAx>
      <c:valAx>
        <c:axId val="32793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EOQ_Sim!$AH$1</c:f>
              <c:strCache>
                <c:ptCount val="1"/>
                <c:pt idx="0">
                  <c:v>Inventory Cost (Excl material cost)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EOQ_Sim!$S$3</c:f>
          <c:strCache>
            <c:ptCount val="1"/>
            <c:pt idx="0">
              <c:v>EOQ w/ Supplier Mix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EOQ_Sim!$T$4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EOQ_Sim!$S$6:$S$65</c:f>
              <c:numCache>
                <c:formatCode>#,##0_);[Red]\(#,##0\)</c:formatCode>
                <c:ptCount val="6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</c:numCache>
            </c:numRef>
          </c:xVal>
          <c:yVal>
            <c:numRef>
              <c:f>EOQ_Sim!$T$6:$T$65</c:f>
              <c:numCache>
                <c:formatCode>#,##0_);[Red]\(#,##0\)</c:formatCode>
                <c:ptCount val="60"/>
                <c:pt idx="0">
                  <c:v>103285.71428571428</c:v>
                </c:pt>
                <c:pt idx="1">
                  <c:v>68857.142857142855</c:v>
                </c:pt>
                <c:pt idx="2">
                  <c:v>41314.28571428571</c:v>
                </c:pt>
                <c:pt idx="3">
                  <c:v>34428.571428571428</c:v>
                </c:pt>
                <c:pt idx="4">
                  <c:v>25821.428571428569</c:v>
                </c:pt>
                <c:pt idx="5">
                  <c:v>22952.38095238095</c:v>
                </c:pt>
                <c:pt idx="6">
                  <c:v>20657.142857142855</c:v>
                </c:pt>
                <c:pt idx="7">
                  <c:v>17214.285714285714</c:v>
                </c:pt>
                <c:pt idx="8">
                  <c:v>15890.109890109889</c:v>
                </c:pt>
                <c:pt idx="9">
                  <c:v>13771.428571428572</c:v>
                </c:pt>
                <c:pt idx="10">
                  <c:v>12910.714285714284</c:v>
                </c:pt>
                <c:pt idx="11">
                  <c:v>11476.190476190475</c:v>
                </c:pt>
                <c:pt idx="12">
                  <c:v>10872.180451127821</c:v>
                </c:pt>
                <c:pt idx="13">
                  <c:v>10328.571428571428</c:v>
                </c:pt>
                <c:pt idx="14">
                  <c:v>9389.6103896103887</c:v>
                </c:pt>
                <c:pt idx="15">
                  <c:v>8981.3664596273284</c:v>
                </c:pt>
                <c:pt idx="16">
                  <c:v>8262.8571428571431</c:v>
                </c:pt>
                <c:pt idx="17">
                  <c:v>7945.0549450549443</c:v>
                </c:pt>
                <c:pt idx="18">
                  <c:v>7377.5510204081629</c:v>
                </c:pt>
                <c:pt idx="19">
                  <c:v>7123.152709359606</c:v>
                </c:pt>
                <c:pt idx="20">
                  <c:v>6885.7142857142862</c:v>
                </c:pt>
                <c:pt idx="21">
                  <c:v>6455.3571428571422</c:v>
                </c:pt>
                <c:pt idx="22">
                  <c:v>6259.7402597402597</c:v>
                </c:pt>
                <c:pt idx="23">
                  <c:v>5902.0408163265311</c:v>
                </c:pt>
                <c:pt idx="24">
                  <c:v>5738.0952380952376</c:v>
                </c:pt>
                <c:pt idx="25">
                  <c:v>5436.0902255639103</c:v>
                </c:pt>
                <c:pt idx="26">
                  <c:v>5296.7032967032974</c:v>
                </c:pt>
                <c:pt idx="27">
                  <c:v>5164.2857142857138</c:v>
                </c:pt>
                <c:pt idx="28">
                  <c:v>4918.3673469387759</c:v>
                </c:pt>
                <c:pt idx="29">
                  <c:v>4803.9867109634552</c:v>
                </c:pt>
                <c:pt idx="30">
                  <c:v>4590.4761904761899</c:v>
                </c:pt>
                <c:pt idx="31">
                  <c:v>4490.6832298136642</c:v>
                </c:pt>
                <c:pt idx="32">
                  <c:v>4303.5714285714284</c:v>
                </c:pt>
                <c:pt idx="33">
                  <c:v>4215.7434402332365</c:v>
                </c:pt>
                <c:pt idx="34">
                  <c:v>4131.4285714285716</c:v>
                </c:pt>
                <c:pt idx="35">
                  <c:v>3972.5274725274721</c:v>
                </c:pt>
                <c:pt idx="36">
                  <c:v>3897.5741239892182</c:v>
                </c:pt>
                <c:pt idx="37">
                  <c:v>3755.8441558441559</c:v>
                </c:pt>
                <c:pt idx="38">
                  <c:v>3688.7755102040815</c:v>
                </c:pt>
                <c:pt idx="39">
                  <c:v>3561.576354679803</c:v>
                </c:pt>
                <c:pt idx="40">
                  <c:v>3501.2106537530267</c:v>
                </c:pt>
                <c:pt idx="41">
                  <c:v>3442.8571428571431</c:v>
                </c:pt>
                <c:pt idx="42">
                  <c:v>3331.7972350230416</c:v>
                </c:pt>
                <c:pt idx="43">
                  <c:v>3278.9115646258501</c:v>
                </c:pt>
                <c:pt idx="44">
                  <c:v>3178.0219780219782</c:v>
                </c:pt>
                <c:pt idx="45">
                  <c:v>3129.8701298701299</c:v>
                </c:pt>
                <c:pt idx="46">
                  <c:v>3037.8151260504201</c:v>
                </c:pt>
                <c:pt idx="47">
                  <c:v>2993.788819875776</c:v>
                </c:pt>
                <c:pt idx="48">
                  <c:v>2951.0204081632655</c:v>
                </c:pt>
                <c:pt idx="49">
                  <c:v>2869.0476190476188</c:v>
                </c:pt>
                <c:pt idx="50">
                  <c:v>2829.7455968688846</c:v>
                </c:pt>
                <c:pt idx="51">
                  <c:v>2754.2857142857142</c:v>
                </c:pt>
                <c:pt idx="52">
                  <c:v>2718.0451127819551</c:v>
                </c:pt>
                <c:pt idx="53">
                  <c:v>2648.3516483516487</c:v>
                </c:pt>
                <c:pt idx="54">
                  <c:v>2614.8282097649185</c:v>
                </c:pt>
                <c:pt idx="55">
                  <c:v>2582.1428571428569</c:v>
                </c:pt>
                <c:pt idx="56">
                  <c:v>2519.1637630662021</c:v>
                </c:pt>
                <c:pt idx="57">
                  <c:v>2488.8123924268502</c:v>
                </c:pt>
                <c:pt idx="58">
                  <c:v>2430.252100840336</c:v>
                </c:pt>
                <c:pt idx="59">
                  <c:v>2401.9933554817276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EOQ_Sim!$U$4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EOQ_Sim!$S$6:$S$65</c:f>
              <c:numCache>
                <c:formatCode>#,##0_);[Red]\(#,##0\)</c:formatCode>
                <c:ptCount val="6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</c:numCache>
            </c:numRef>
          </c:xVal>
          <c:yVal>
            <c:numRef>
              <c:f>EOQ_Sim!$U$6:$U$65</c:f>
              <c:numCache>
                <c:formatCode>#,##0_);[Red]\(#,##0\)</c:formatCode>
                <c:ptCount val="60"/>
                <c:pt idx="0">
                  <c:v>3862.6000000000004</c:v>
                </c:pt>
                <c:pt idx="1">
                  <c:v>5793.9</c:v>
                </c:pt>
                <c:pt idx="2">
                  <c:v>9656.4999999999982</c:v>
                </c:pt>
                <c:pt idx="3">
                  <c:v>11587.8</c:v>
                </c:pt>
                <c:pt idx="4">
                  <c:v>15450.400000000001</c:v>
                </c:pt>
                <c:pt idx="5">
                  <c:v>17381.7</c:v>
                </c:pt>
                <c:pt idx="6">
                  <c:v>19312.999999999996</c:v>
                </c:pt>
                <c:pt idx="7">
                  <c:v>23175.599999999999</c:v>
                </c:pt>
                <c:pt idx="8">
                  <c:v>25106.899999999998</c:v>
                </c:pt>
                <c:pt idx="9">
                  <c:v>28969.5</c:v>
                </c:pt>
                <c:pt idx="10">
                  <c:v>30900.800000000003</c:v>
                </c:pt>
                <c:pt idx="11">
                  <c:v>34763.4</c:v>
                </c:pt>
                <c:pt idx="12">
                  <c:v>36694.699999999997</c:v>
                </c:pt>
                <c:pt idx="13">
                  <c:v>38625.999999999993</c:v>
                </c:pt>
                <c:pt idx="14">
                  <c:v>42488.6</c:v>
                </c:pt>
                <c:pt idx="15">
                  <c:v>44419.899999999994</c:v>
                </c:pt>
                <c:pt idx="16">
                  <c:v>48282.5</c:v>
                </c:pt>
                <c:pt idx="17">
                  <c:v>50213.799999999996</c:v>
                </c:pt>
                <c:pt idx="18">
                  <c:v>54076.4</c:v>
                </c:pt>
                <c:pt idx="19">
                  <c:v>56007.700000000004</c:v>
                </c:pt>
                <c:pt idx="20">
                  <c:v>57939</c:v>
                </c:pt>
                <c:pt idx="21">
                  <c:v>61801.600000000006</c:v>
                </c:pt>
                <c:pt idx="22">
                  <c:v>63732.9</c:v>
                </c:pt>
                <c:pt idx="23">
                  <c:v>67595.5</c:v>
                </c:pt>
                <c:pt idx="24">
                  <c:v>69526.8</c:v>
                </c:pt>
                <c:pt idx="25">
                  <c:v>73389.399999999994</c:v>
                </c:pt>
                <c:pt idx="26">
                  <c:v>75320.7</c:v>
                </c:pt>
                <c:pt idx="27">
                  <c:v>77251.999999999985</c:v>
                </c:pt>
                <c:pt idx="28">
                  <c:v>81114.599999999991</c:v>
                </c:pt>
                <c:pt idx="29">
                  <c:v>83045.899999999994</c:v>
                </c:pt>
                <c:pt idx="30">
                  <c:v>86908.5</c:v>
                </c:pt>
                <c:pt idx="31">
                  <c:v>88839.799999999988</c:v>
                </c:pt>
                <c:pt idx="32">
                  <c:v>92702.399999999994</c:v>
                </c:pt>
                <c:pt idx="33">
                  <c:v>94633.7</c:v>
                </c:pt>
                <c:pt idx="34">
                  <c:v>96565</c:v>
                </c:pt>
                <c:pt idx="35">
                  <c:v>100427.59999999999</c:v>
                </c:pt>
                <c:pt idx="36">
                  <c:v>102358.9</c:v>
                </c:pt>
                <c:pt idx="37">
                  <c:v>106221.5</c:v>
                </c:pt>
                <c:pt idx="38">
                  <c:v>108152.8</c:v>
                </c:pt>
                <c:pt idx="39">
                  <c:v>112015.40000000001</c:v>
                </c:pt>
                <c:pt idx="40">
                  <c:v>113946.70000000001</c:v>
                </c:pt>
                <c:pt idx="41">
                  <c:v>115878</c:v>
                </c:pt>
                <c:pt idx="42">
                  <c:v>119740.6</c:v>
                </c:pt>
                <c:pt idx="43">
                  <c:v>121671.90000000001</c:v>
                </c:pt>
                <c:pt idx="44">
                  <c:v>125534.5</c:v>
                </c:pt>
                <c:pt idx="45">
                  <c:v>127465.8</c:v>
                </c:pt>
                <c:pt idx="46">
                  <c:v>131328.4</c:v>
                </c:pt>
                <c:pt idx="47">
                  <c:v>133259.70000000001</c:v>
                </c:pt>
                <c:pt idx="48">
                  <c:v>135191</c:v>
                </c:pt>
                <c:pt idx="49">
                  <c:v>139053.6</c:v>
                </c:pt>
                <c:pt idx="50">
                  <c:v>140984.9</c:v>
                </c:pt>
                <c:pt idx="51">
                  <c:v>144847.49999999997</c:v>
                </c:pt>
                <c:pt idx="52">
                  <c:v>146778.79999999999</c:v>
                </c:pt>
                <c:pt idx="53">
                  <c:v>150641.4</c:v>
                </c:pt>
                <c:pt idx="54">
                  <c:v>152572.69999999998</c:v>
                </c:pt>
                <c:pt idx="55">
                  <c:v>154503.99999999997</c:v>
                </c:pt>
                <c:pt idx="56">
                  <c:v>158366.59999999998</c:v>
                </c:pt>
                <c:pt idx="57">
                  <c:v>160297.9</c:v>
                </c:pt>
                <c:pt idx="58">
                  <c:v>164160.5</c:v>
                </c:pt>
                <c:pt idx="59">
                  <c:v>166091.79999999999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EOQ_Sim!$V$4</c:f>
              <c:strCache>
                <c:ptCount val="1"/>
                <c:pt idx="0">
                  <c:v>S+H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EOQ_Sim!$S$6:$S$65</c:f>
              <c:numCache>
                <c:formatCode>#,##0_);[Red]\(#,##0\)</c:formatCode>
                <c:ptCount val="6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</c:numCache>
            </c:numRef>
          </c:xVal>
          <c:yVal>
            <c:numRef>
              <c:f>EOQ_Sim!$V$6:$V$65</c:f>
              <c:numCache>
                <c:formatCode>#,##0_);[Red]\(#,##0\)</c:formatCode>
                <c:ptCount val="60"/>
                <c:pt idx="0">
                  <c:v>107148.31428571428</c:v>
                </c:pt>
                <c:pt idx="1">
                  <c:v>74651.042857142849</c:v>
                </c:pt>
                <c:pt idx="2">
                  <c:v>50970.78571428571</c:v>
                </c:pt>
                <c:pt idx="3">
                  <c:v>46016.371428571423</c:v>
                </c:pt>
                <c:pt idx="4">
                  <c:v>41271.828571428574</c:v>
                </c:pt>
                <c:pt idx="5">
                  <c:v>40334.080952380951</c:v>
                </c:pt>
                <c:pt idx="6">
                  <c:v>39970.142857142855</c:v>
                </c:pt>
                <c:pt idx="7">
                  <c:v>40389.885714285716</c:v>
                </c:pt>
                <c:pt idx="8">
                  <c:v>40997.009890109883</c:v>
                </c:pt>
                <c:pt idx="9">
                  <c:v>42740.928571428572</c:v>
                </c:pt>
                <c:pt idx="10">
                  <c:v>43811.514285714286</c:v>
                </c:pt>
                <c:pt idx="11">
                  <c:v>46239.590476190475</c:v>
                </c:pt>
                <c:pt idx="12">
                  <c:v>47566.880451127814</c:v>
                </c:pt>
                <c:pt idx="13">
                  <c:v>48954.57142857142</c:v>
                </c:pt>
                <c:pt idx="14">
                  <c:v>51878.210389610387</c:v>
                </c:pt>
                <c:pt idx="15">
                  <c:v>53401.266459627324</c:v>
                </c:pt>
                <c:pt idx="16">
                  <c:v>56545.357142857145</c:v>
                </c:pt>
                <c:pt idx="17">
                  <c:v>58158.85494505494</c:v>
                </c:pt>
                <c:pt idx="18">
                  <c:v>61453.951020408167</c:v>
                </c:pt>
                <c:pt idx="19">
                  <c:v>63130.852709359613</c:v>
                </c:pt>
                <c:pt idx="20">
                  <c:v>64824.71428571429</c:v>
                </c:pt>
                <c:pt idx="21">
                  <c:v>68256.957142857151</c:v>
                </c:pt>
                <c:pt idx="22">
                  <c:v>69992.640259740263</c:v>
                </c:pt>
                <c:pt idx="23">
                  <c:v>73497.540816326538</c:v>
                </c:pt>
                <c:pt idx="24">
                  <c:v>75264.89523809524</c:v>
                </c:pt>
                <c:pt idx="25">
                  <c:v>78825.490225563903</c:v>
                </c:pt>
                <c:pt idx="26">
                  <c:v>80617.403296703298</c:v>
                </c:pt>
                <c:pt idx="27">
                  <c:v>82416.285714285696</c:v>
                </c:pt>
                <c:pt idx="28">
                  <c:v>86032.967346938764</c:v>
                </c:pt>
                <c:pt idx="29">
                  <c:v>87849.886710963445</c:v>
                </c:pt>
                <c:pt idx="30">
                  <c:v>91498.976190476184</c:v>
                </c:pt>
                <c:pt idx="31">
                  <c:v>93330.483229813646</c:v>
                </c:pt>
                <c:pt idx="32">
                  <c:v>97005.971428571429</c:v>
                </c:pt>
                <c:pt idx="33">
                  <c:v>98849.443440233241</c:v>
                </c:pt>
                <c:pt idx="34">
                  <c:v>100696.42857142857</c:v>
                </c:pt>
                <c:pt idx="35">
                  <c:v>104400.12747252747</c:v>
                </c:pt>
                <c:pt idx="36">
                  <c:v>106256.47412398922</c:v>
                </c:pt>
                <c:pt idx="37">
                  <c:v>109977.34415584416</c:v>
                </c:pt>
                <c:pt idx="38">
                  <c:v>111841.57551020409</c:v>
                </c:pt>
                <c:pt idx="39">
                  <c:v>115576.97635467981</c:v>
                </c:pt>
                <c:pt idx="40">
                  <c:v>117447.91065375303</c:v>
                </c:pt>
                <c:pt idx="41">
                  <c:v>119320.85714285714</c:v>
                </c:pt>
                <c:pt idx="42">
                  <c:v>123072.39723502305</c:v>
                </c:pt>
                <c:pt idx="43">
                  <c:v>124950.81156462585</c:v>
                </c:pt>
                <c:pt idx="44">
                  <c:v>128712.52197802198</c:v>
                </c:pt>
                <c:pt idx="45">
                  <c:v>130595.67012987014</c:v>
                </c:pt>
                <c:pt idx="46">
                  <c:v>134366.2151260504</c:v>
                </c:pt>
                <c:pt idx="47">
                  <c:v>136253.48881987578</c:v>
                </c:pt>
                <c:pt idx="48">
                  <c:v>138142.02040816325</c:v>
                </c:pt>
                <c:pt idx="49">
                  <c:v>141922.64761904764</c:v>
                </c:pt>
                <c:pt idx="50">
                  <c:v>143814.64559686888</c:v>
                </c:pt>
                <c:pt idx="51">
                  <c:v>147601.78571428568</c:v>
                </c:pt>
                <c:pt idx="52">
                  <c:v>149496.84511278194</c:v>
                </c:pt>
                <c:pt idx="53">
                  <c:v>153289.75164835164</c:v>
                </c:pt>
                <c:pt idx="54">
                  <c:v>155187.52820976489</c:v>
                </c:pt>
                <c:pt idx="55">
                  <c:v>157086.14285714284</c:v>
                </c:pt>
                <c:pt idx="56">
                  <c:v>160885.76376306618</c:v>
                </c:pt>
                <c:pt idx="57">
                  <c:v>162786.71239242685</c:v>
                </c:pt>
                <c:pt idx="58">
                  <c:v>166590.75210084033</c:v>
                </c:pt>
                <c:pt idx="59">
                  <c:v>168493.79335548173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91888"/>
        <c:axId val="375789536"/>
      </c:scatterChart>
      <c:scatterChart>
        <c:scatterStyle val="lineMarker"/>
        <c:varyColors val="0"/>
        <c:ser>
          <c:idx val="3"/>
          <c:order val="3"/>
          <c:tx>
            <c:v>EOQ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2700" cap="flat" cmpd="sng" algn="ctr">
                <a:solidFill>
                  <a:srgbClr val="C00000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2700" cap="flat" cmpd="sng" algn="ctr">
                <a:solidFill>
                  <a:srgbClr val="C00000"/>
                </a:solidFill>
                <a:prstDash val="dash"/>
                <a:round/>
              </a:ln>
              <a:effectLst/>
            </c:spPr>
          </c:errBars>
          <c:xVal>
            <c:numRef>
              <c:f>EOQ_Sim!$S$12</c:f>
              <c:numCache>
                <c:formatCode>#,##0_);[Red]\(#,##0\)</c:formatCode>
                <c:ptCount val="1"/>
                <c:pt idx="0">
                  <c:v>700</c:v>
                </c:pt>
              </c:numCache>
            </c:numRef>
          </c:xVal>
          <c:yVal>
            <c:numRef>
              <c:f>EOQ_Sim!$V$12</c:f>
              <c:numCache>
                <c:formatCode>#,##0_);[Red]\(#,##0\)</c:formatCode>
                <c:ptCount val="1"/>
                <c:pt idx="0">
                  <c:v>39970.142857142855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91888"/>
        <c:axId val="375789536"/>
      </c:scatterChart>
      <c:valAx>
        <c:axId val="3757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EOQ_Sim!$AG$1</c:f>
              <c:strCache>
                <c:ptCount val="1"/>
                <c:pt idx="0">
                  <c:v>Qty per Order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89536"/>
        <c:crosses val="autoZero"/>
        <c:crossBetween val="midCat"/>
      </c:valAx>
      <c:valAx>
        <c:axId val="3757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EOQ_Sim!$AH$1</c:f>
              <c:strCache>
                <c:ptCount val="1"/>
                <c:pt idx="0">
                  <c:v>Inventory Cost (Excl material cost)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9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ROP!$F$13</c:f>
          <c:strCache>
            <c:ptCount val="1"/>
            <c:pt idx="0">
              <c:v>ROP Variation by LT &amp; Demand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ROP!$F$11</c:f>
              <c:strCache>
                <c:ptCount val="1"/>
                <c:pt idx="0">
                  <c:v>Lead Time 3 Wks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ROP!$E$15:$E$21</c:f>
              <c:strCache>
                <c:ptCount val="7"/>
                <c:pt idx="0">
                  <c:v>Demand @ 50</c:v>
                </c:pt>
                <c:pt idx="1">
                  <c:v>Demand @ 75</c:v>
                </c:pt>
                <c:pt idx="2">
                  <c:v>Demand @ 100</c:v>
                </c:pt>
                <c:pt idx="3">
                  <c:v>Demand @ 125</c:v>
                </c:pt>
                <c:pt idx="4">
                  <c:v>Demand @ 150</c:v>
                </c:pt>
                <c:pt idx="5">
                  <c:v>Demand @ 175</c:v>
                </c:pt>
                <c:pt idx="6">
                  <c:v>Demand @ 200</c:v>
                </c:pt>
              </c:strCache>
            </c:strRef>
          </c:cat>
          <c:val>
            <c:numRef>
              <c:f>ROP!$F$3:$F$9</c:f>
              <c:numCache>
                <c:formatCode>#,##0_);[Red]\(#,##0\)</c:formatCode>
                <c:ptCount val="7"/>
                <c:pt idx="0">
                  <c:v>156</c:v>
                </c:pt>
                <c:pt idx="1">
                  <c:v>234</c:v>
                </c:pt>
                <c:pt idx="2">
                  <c:v>312</c:v>
                </c:pt>
                <c:pt idx="3">
                  <c:v>390</c:v>
                </c:pt>
                <c:pt idx="4">
                  <c:v>468</c:v>
                </c:pt>
                <c:pt idx="5">
                  <c:v>546</c:v>
                </c:pt>
                <c:pt idx="6">
                  <c:v>624</c:v>
                </c:pt>
              </c:numCache>
            </c:numRef>
          </c:val>
        </c:ser>
        <c:ser>
          <c:idx val="1"/>
          <c:order val="1"/>
          <c:tx>
            <c:strRef>
              <c:f>ROP!$G$11</c:f>
              <c:strCache>
                <c:ptCount val="1"/>
                <c:pt idx="0">
                  <c:v>Lead Time 4 Wks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ROP!$E$15:$E$21</c:f>
              <c:strCache>
                <c:ptCount val="7"/>
                <c:pt idx="0">
                  <c:v>Demand @ 50</c:v>
                </c:pt>
                <c:pt idx="1">
                  <c:v>Demand @ 75</c:v>
                </c:pt>
                <c:pt idx="2">
                  <c:v>Demand @ 100</c:v>
                </c:pt>
                <c:pt idx="3">
                  <c:v>Demand @ 125</c:v>
                </c:pt>
                <c:pt idx="4">
                  <c:v>Demand @ 150</c:v>
                </c:pt>
                <c:pt idx="5">
                  <c:v>Demand @ 175</c:v>
                </c:pt>
                <c:pt idx="6">
                  <c:v>Demand @ 200</c:v>
                </c:pt>
              </c:strCache>
            </c:strRef>
          </c:cat>
          <c:val>
            <c:numRef>
              <c:f>ROP!$G$3:$G$9</c:f>
              <c:numCache>
                <c:formatCode>#,##0_);[Red]\(#,##0\)</c:formatCode>
                <c:ptCount val="7"/>
                <c:pt idx="0">
                  <c:v>206</c:v>
                </c:pt>
                <c:pt idx="1">
                  <c:v>309</c:v>
                </c:pt>
                <c:pt idx="2">
                  <c:v>412</c:v>
                </c:pt>
                <c:pt idx="3">
                  <c:v>515</c:v>
                </c:pt>
                <c:pt idx="4">
                  <c:v>618</c:v>
                </c:pt>
                <c:pt idx="5">
                  <c:v>721</c:v>
                </c:pt>
                <c:pt idx="6">
                  <c:v>824</c:v>
                </c:pt>
              </c:numCache>
            </c:numRef>
          </c:val>
        </c:ser>
        <c:ser>
          <c:idx val="2"/>
          <c:order val="2"/>
          <c:tx>
            <c:strRef>
              <c:f>ROP!$H$11</c:f>
              <c:strCache>
                <c:ptCount val="1"/>
                <c:pt idx="0">
                  <c:v>Lead Time 5 Wks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ROP!$E$15:$E$21</c:f>
              <c:strCache>
                <c:ptCount val="7"/>
                <c:pt idx="0">
                  <c:v>Demand @ 50</c:v>
                </c:pt>
                <c:pt idx="1">
                  <c:v>Demand @ 75</c:v>
                </c:pt>
                <c:pt idx="2">
                  <c:v>Demand @ 100</c:v>
                </c:pt>
                <c:pt idx="3">
                  <c:v>Demand @ 125</c:v>
                </c:pt>
                <c:pt idx="4">
                  <c:v>Demand @ 150</c:v>
                </c:pt>
                <c:pt idx="5">
                  <c:v>Demand @ 175</c:v>
                </c:pt>
                <c:pt idx="6">
                  <c:v>Demand @ 200</c:v>
                </c:pt>
              </c:strCache>
            </c:strRef>
          </c:cat>
          <c:val>
            <c:numRef>
              <c:f>ROP!$H$3:$H$9</c:f>
              <c:numCache>
                <c:formatCode>#,##0_);[Red]\(#,##0\)</c:formatCode>
                <c:ptCount val="7"/>
                <c:pt idx="0">
                  <c:v>256</c:v>
                </c:pt>
                <c:pt idx="1">
                  <c:v>384</c:v>
                </c:pt>
                <c:pt idx="2">
                  <c:v>512</c:v>
                </c:pt>
                <c:pt idx="3">
                  <c:v>640</c:v>
                </c:pt>
                <c:pt idx="4">
                  <c:v>768</c:v>
                </c:pt>
                <c:pt idx="5">
                  <c:v>896</c:v>
                </c:pt>
                <c:pt idx="6">
                  <c:v>1024</c:v>
                </c:pt>
              </c:numCache>
            </c:numRef>
          </c:val>
        </c:ser>
        <c:ser>
          <c:idx val="3"/>
          <c:order val="3"/>
          <c:tx>
            <c:strRef>
              <c:f>ROP!$I$11</c:f>
              <c:strCache>
                <c:ptCount val="1"/>
                <c:pt idx="0">
                  <c:v>Lead Time 6 Wks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ROP!$E$15:$E$21</c:f>
              <c:strCache>
                <c:ptCount val="7"/>
                <c:pt idx="0">
                  <c:v>Demand @ 50</c:v>
                </c:pt>
                <c:pt idx="1">
                  <c:v>Demand @ 75</c:v>
                </c:pt>
                <c:pt idx="2">
                  <c:v>Demand @ 100</c:v>
                </c:pt>
                <c:pt idx="3">
                  <c:v>Demand @ 125</c:v>
                </c:pt>
                <c:pt idx="4">
                  <c:v>Demand @ 150</c:v>
                </c:pt>
                <c:pt idx="5">
                  <c:v>Demand @ 175</c:v>
                </c:pt>
                <c:pt idx="6">
                  <c:v>Demand @ 200</c:v>
                </c:pt>
              </c:strCache>
            </c:strRef>
          </c:cat>
          <c:val>
            <c:numRef>
              <c:f>ROP!$I$3:$I$9</c:f>
              <c:numCache>
                <c:formatCode>#,##0_);[Red]\(#,##0\)</c:formatCode>
                <c:ptCount val="7"/>
                <c:pt idx="0">
                  <c:v>306</c:v>
                </c:pt>
                <c:pt idx="1">
                  <c:v>459</c:v>
                </c:pt>
                <c:pt idx="2">
                  <c:v>612</c:v>
                </c:pt>
                <c:pt idx="3">
                  <c:v>765</c:v>
                </c:pt>
                <c:pt idx="4">
                  <c:v>918</c:v>
                </c:pt>
                <c:pt idx="5">
                  <c:v>1071</c:v>
                </c:pt>
                <c:pt idx="6">
                  <c:v>1224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90320"/>
        <c:axId val="375792280"/>
      </c:radarChart>
      <c:catAx>
        <c:axId val="37579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92280"/>
        <c:crosses val="autoZero"/>
        <c:auto val="1"/>
        <c:lblAlgn val="ctr"/>
        <c:lblOffset val="100"/>
        <c:noMultiLvlLbl val="0"/>
      </c:catAx>
      <c:valAx>
        <c:axId val="37579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9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ROP!$F$13</c:f>
          <c:strCache>
            <c:ptCount val="1"/>
            <c:pt idx="0">
              <c:v>ROP Variation by LT &amp; Demand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ROP!$F$11</c:f>
              <c:strCache>
                <c:ptCount val="1"/>
                <c:pt idx="0">
                  <c:v>Lead Time 3 Wks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ROP!$E$3:$E$9</c:f>
              <c:numCache>
                <c:formatCode>#,##0_);[Red]\(#,##0\)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ROP!$F$3:$F$9</c:f>
              <c:numCache>
                <c:formatCode>#,##0_);[Red]\(#,##0\)</c:formatCode>
                <c:ptCount val="7"/>
                <c:pt idx="0">
                  <c:v>156</c:v>
                </c:pt>
                <c:pt idx="1">
                  <c:v>234</c:v>
                </c:pt>
                <c:pt idx="2">
                  <c:v>312</c:v>
                </c:pt>
                <c:pt idx="3">
                  <c:v>390</c:v>
                </c:pt>
                <c:pt idx="4">
                  <c:v>468</c:v>
                </c:pt>
                <c:pt idx="5">
                  <c:v>546</c:v>
                </c:pt>
                <c:pt idx="6">
                  <c:v>624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ROP!$G$11</c:f>
              <c:strCache>
                <c:ptCount val="1"/>
                <c:pt idx="0">
                  <c:v>Lead Time 4 Wks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ROP!$E$3:$E$9</c:f>
              <c:numCache>
                <c:formatCode>#,##0_);[Red]\(#,##0\)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ROP!$G$3:$G$9</c:f>
              <c:numCache>
                <c:formatCode>#,##0_);[Red]\(#,##0\)</c:formatCode>
                <c:ptCount val="7"/>
                <c:pt idx="0">
                  <c:v>206</c:v>
                </c:pt>
                <c:pt idx="1">
                  <c:v>309</c:v>
                </c:pt>
                <c:pt idx="2">
                  <c:v>412</c:v>
                </c:pt>
                <c:pt idx="3">
                  <c:v>515</c:v>
                </c:pt>
                <c:pt idx="4">
                  <c:v>618</c:v>
                </c:pt>
                <c:pt idx="5">
                  <c:v>721</c:v>
                </c:pt>
                <c:pt idx="6">
                  <c:v>824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ROP!$H$11</c:f>
              <c:strCache>
                <c:ptCount val="1"/>
                <c:pt idx="0">
                  <c:v>Lead Time 5 Wks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ROP!$E$3:$E$9</c:f>
              <c:numCache>
                <c:formatCode>#,##0_);[Red]\(#,##0\)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ROP!$H$3:$H$9</c:f>
              <c:numCache>
                <c:formatCode>#,##0_);[Red]\(#,##0\)</c:formatCode>
                <c:ptCount val="7"/>
                <c:pt idx="0">
                  <c:v>256</c:v>
                </c:pt>
                <c:pt idx="1">
                  <c:v>384</c:v>
                </c:pt>
                <c:pt idx="2">
                  <c:v>512</c:v>
                </c:pt>
                <c:pt idx="3">
                  <c:v>640</c:v>
                </c:pt>
                <c:pt idx="4">
                  <c:v>768</c:v>
                </c:pt>
                <c:pt idx="5">
                  <c:v>896</c:v>
                </c:pt>
                <c:pt idx="6">
                  <c:v>1024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ROP!$I$11</c:f>
              <c:strCache>
                <c:ptCount val="1"/>
                <c:pt idx="0">
                  <c:v>Lead Time 6 Wks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ROP!$E$3:$E$9</c:f>
              <c:numCache>
                <c:formatCode>#,##0_);[Red]\(#,##0\)</c:formatCode>
                <c:ptCount val="7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</c:numCache>
            </c:numRef>
          </c:xVal>
          <c:yVal>
            <c:numRef>
              <c:f>ROP!$I$3:$I$9</c:f>
              <c:numCache>
                <c:formatCode>#,##0_);[Red]\(#,##0\)</c:formatCode>
                <c:ptCount val="7"/>
                <c:pt idx="0">
                  <c:v>306</c:v>
                </c:pt>
                <c:pt idx="1">
                  <c:v>459</c:v>
                </c:pt>
                <c:pt idx="2">
                  <c:v>612</c:v>
                </c:pt>
                <c:pt idx="3">
                  <c:v>765</c:v>
                </c:pt>
                <c:pt idx="4">
                  <c:v>918</c:v>
                </c:pt>
                <c:pt idx="5">
                  <c:v>1071</c:v>
                </c:pt>
                <c:pt idx="6">
                  <c:v>1224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89928"/>
        <c:axId val="375787184"/>
      </c:scatterChart>
      <c:valAx>
        <c:axId val="37578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ROP!$D$3</c:f>
              <c:strCache>
                <c:ptCount val="1"/>
                <c:pt idx="0">
                  <c:v>Demand (per Wk)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87184"/>
        <c:crosses val="autoZero"/>
        <c:crossBetween val="midCat"/>
      </c:valAx>
      <c:valAx>
        <c:axId val="3757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ROP!$E$1</c:f>
              <c:strCache>
                <c:ptCount val="1"/>
                <c:pt idx="0">
                  <c:v>ROP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8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ABC_Analysis!$K$1</c:f>
          <c:strCache>
            <c:ptCount val="1"/>
            <c:pt idx="0">
              <c:v>A/B/C Classification &amp; Analysis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ABC_Analysis!$C$16</c:f>
              <c:strCache>
                <c:ptCount val="1"/>
                <c:pt idx="0">
                  <c:v>Cost Weight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cat>
            <c:strRef>
              <c:f>ABC_Analysis!$B$17:$B$25</c:f>
              <c:strCache>
                <c:ptCount val="9"/>
                <c:pt idx="0">
                  <c:v>H Bridge</c:v>
                </c:pt>
                <c:pt idx="1">
                  <c:v>Battery</c:v>
                </c:pt>
                <c:pt idx="2">
                  <c:v>Rectifier</c:v>
                </c:pt>
                <c:pt idx="3">
                  <c:v>Regulator &amp; Control Assembly</c:v>
                </c:pt>
                <c:pt idx="4">
                  <c:v>Basic User Controls Module</c:v>
                </c:pt>
                <c:pt idx="5">
                  <c:v>Transformer2</c:v>
                </c:pt>
                <c:pt idx="6">
                  <c:v>Transformer1</c:v>
                </c:pt>
                <c:pt idx="7">
                  <c:v>Filters</c:v>
                </c:pt>
                <c:pt idx="8">
                  <c:v>Enclosure + Accessories</c:v>
                </c:pt>
              </c:strCache>
            </c:strRef>
          </c:cat>
          <c:val>
            <c:numRef>
              <c:f>ABC_Analysis!$C$17:$C$25</c:f>
              <c:numCache>
                <c:formatCode>0.0_)\ %;[Red]\(0.0\)\ %</c:formatCode>
                <c:ptCount val="9"/>
                <c:pt idx="0">
                  <c:v>0.20188425302826379</c:v>
                </c:pt>
                <c:pt idx="1">
                  <c:v>0.16150740242261102</c:v>
                </c:pt>
                <c:pt idx="2">
                  <c:v>0.1480484522207268</c:v>
                </c:pt>
                <c:pt idx="3">
                  <c:v>0.1480484522207268</c:v>
                </c:pt>
                <c:pt idx="4">
                  <c:v>0.12113055181695828</c:v>
                </c:pt>
                <c:pt idx="5">
                  <c:v>6.9986541049798109E-2</c:v>
                </c:pt>
                <c:pt idx="6">
                  <c:v>6.9313593539703899E-2</c:v>
                </c:pt>
                <c:pt idx="7">
                  <c:v>4.0376850605652756E-2</c:v>
                </c:pt>
                <c:pt idx="8">
                  <c:v>3.9703903095558546E-2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axId val="327798904"/>
        <c:axId val="328284632"/>
      </c:barChart>
      <c:lineChart>
        <c:grouping val="standard"/>
        <c:varyColors val="0"/>
        <c:ser>
          <c:idx val="1"/>
          <c:order val="1"/>
          <c:tx>
            <c:strRef>
              <c:f>ABC_Analysis!$D$16</c:f>
              <c:strCache>
                <c:ptCount val="1"/>
                <c:pt idx="0">
                  <c:v>Cumulative Cost Weight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ABC_Analysis!$B$17:$B$25</c:f>
              <c:strCache>
                <c:ptCount val="9"/>
                <c:pt idx="0">
                  <c:v>H Bridge</c:v>
                </c:pt>
                <c:pt idx="1">
                  <c:v>Battery</c:v>
                </c:pt>
                <c:pt idx="2">
                  <c:v>Rectifier</c:v>
                </c:pt>
                <c:pt idx="3">
                  <c:v>Regulator &amp; Control Assembly</c:v>
                </c:pt>
                <c:pt idx="4">
                  <c:v>Basic User Controls Module</c:v>
                </c:pt>
                <c:pt idx="5">
                  <c:v>Transformer2</c:v>
                </c:pt>
                <c:pt idx="6">
                  <c:v>Transformer1</c:v>
                </c:pt>
                <c:pt idx="7">
                  <c:v>Filters</c:v>
                </c:pt>
                <c:pt idx="8">
                  <c:v>Enclosure + Accessories</c:v>
                </c:pt>
              </c:strCache>
            </c:strRef>
          </c:cat>
          <c:val>
            <c:numRef>
              <c:f>ABC_Analysis!$D$17:$D$25</c:f>
              <c:numCache>
                <c:formatCode>0.0_)\ %;[Red]\(0.0\)\ %</c:formatCode>
                <c:ptCount val="9"/>
                <c:pt idx="0">
                  <c:v>0.20188425302826379</c:v>
                </c:pt>
                <c:pt idx="1">
                  <c:v>0.36339165545087482</c:v>
                </c:pt>
                <c:pt idx="2">
                  <c:v>0.51144010767160164</c:v>
                </c:pt>
                <c:pt idx="3">
                  <c:v>0.65948855989232846</c:v>
                </c:pt>
                <c:pt idx="4">
                  <c:v>0.78061911170928677</c:v>
                </c:pt>
                <c:pt idx="5">
                  <c:v>0.85060565275908484</c:v>
                </c:pt>
                <c:pt idx="6">
                  <c:v>0.91991924629878874</c:v>
                </c:pt>
                <c:pt idx="7">
                  <c:v>0.96029609690444151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003920"/>
        <c:axId val="35998112"/>
      </c:lineChart>
      <c:catAx>
        <c:axId val="32779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84632"/>
        <c:crosses val="autoZero"/>
        <c:auto val="0"/>
        <c:lblAlgn val="ctr"/>
        <c:lblOffset val="100"/>
        <c:noMultiLvlLbl val="0"/>
      </c:catAx>
      <c:valAx>
        <c:axId val="32828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\ %;[Red]\(0.0\)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98904"/>
        <c:crosses val="autoZero"/>
        <c:crossBetween val="between"/>
      </c:valAx>
      <c:valAx>
        <c:axId val="35998112"/>
        <c:scaling>
          <c:orientation val="minMax"/>
        </c:scaling>
        <c:delete val="0"/>
        <c:axPos val="r"/>
        <c:numFmt formatCode="0.0_)\ %;[Red]\(0.0\)\ 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03920"/>
        <c:crosses val="max"/>
        <c:crossBetween val="between"/>
      </c:valAx>
      <c:catAx>
        <c:axId val="375003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99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A/B/C Classification &amp;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A/B/C Classification &amp; Analysis</a:t>
          </a:r>
        </a:p>
      </cx:txPr>
    </cx:title>
    <cx:plotArea>
      <cx:plotAreaRegion>
        <cx:series layoutId="clusteredColumn" uniqueId="{BBAB76CA-0BAA-4207-97AE-D49DFEB265E7}">
          <cx:dataPt idx="0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1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2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3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4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5">
            <cx:spPr>
              <a:solidFill>
                <a:srgbClr val="FFC000">
                  <a:lumMod val="20000"/>
                  <a:lumOff val="80000"/>
                </a:srgbClr>
              </a:solidFill>
            </cx:spPr>
          </cx:dataPt>
          <cx:dataPt idx="6">
            <cx:spPr>
              <a:solidFill>
                <a:srgbClr val="FFC000">
                  <a:lumMod val="20000"/>
                  <a:lumOff val="80000"/>
                </a:srgbClr>
              </a:solidFill>
            </cx:spPr>
          </cx:dataPt>
          <cx:dataPt idx="7">
            <cx:spPr>
              <a:solidFill>
                <a:srgbClr val="4472C4">
                  <a:lumMod val="20000"/>
                  <a:lumOff val="80000"/>
                </a:srgbClr>
              </a:solidFill>
            </cx:spPr>
          </cx:dataPt>
          <cx:dataPt idx="8">
            <cx:spPr>
              <a:solidFill>
                <a:srgbClr val="4472C4">
                  <a:lumMod val="20000"/>
                  <a:lumOff val="80000"/>
                </a:srgbClr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A666E5A9-3E46-40E6-85D9-C48513E715E6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1</xdr:row>
      <xdr:rowOff>0</xdr:rowOff>
    </xdr:from>
    <xdr:to>
      <xdr:col>44</xdr:col>
      <xdr:colOff>1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AECA2819-7893-4096-91FB-0E11A07D22BF}"/>
            </a:ext>
          </a:extLst>
        </xdr:cNvPr>
        <xdr:cNvSpPr txBox="1"/>
      </xdr:nvSpPr>
      <xdr:spPr>
        <a:xfrm>
          <a:off x="19663833" y="190500"/>
          <a:ext cx="6752168" cy="628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EOQ = (2 x Demand x Order Cost / Holding Cost) ^ 1/2</a:t>
          </a:r>
        </a:p>
        <a:p>
          <a:endParaRPr lang="en-US" sz="1100"/>
        </a:p>
        <a:p>
          <a:r>
            <a:rPr lang="en-US" sz="1100" b="1" u="sng"/>
            <a:t>Annual Demand Calculation (D)</a:t>
          </a:r>
        </a:p>
        <a:p>
          <a:r>
            <a:rPr lang="en-US" sz="1100"/>
            <a:t>The Annual demand is the number of units that you sell annually. If actual units are not available, then you can use expected sales figure based on your sales trend.</a:t>
          </a:r>
        </a:p>
        <a:p>
          <a:r>
            <a:rPr lang="en-US" sz="1100"/>
            <a:t>The following table will give you a better idea about what the other factors are that can have an impact on demand and your business operations:</a:t>
          </a:r>
        </a:p>
        <a:p>
          <a:r>
            <a:rPr lang="en-US" sz="1100" b="1"/>
            <a:t>Market conditions</a:t>
          </a:r>
        </a:p>
        <a:p>
          <a:pPr lvl="1"/>
          <a:r>
            <a:rPr lang="en-US" sz="1100"/>
            <a:t>Change in customer taste</a:t>
          </a:r>
        </a:p>
        <a:p>
          <a:pPr lvl="1"/>
          <a:r>
            <a:rPr lang="en-US" sz="1100"/>
            <a:t>Competition</a:t>
          </a:r>
        </a:p>
        <a:p>
          <a:pPr lvl="1"/>
          <a:r>
            <a:rPr lang="en-US" sz="1100"/>
            <a:t>Shift in industry standards</a:t>
          </a:r>
        </a:p>
        <a:p>
          <a:r>
            <a:rPr lang="en-US" sz="1100" b="1"/>
            <a:t>Economic conditions</a:t>
          </a:r>
        </a:p>
        <a:p>
          <a:pPr lvl="1"/>
          <a:r>
            <a:rPr lang="en-US" sz="1100"/>
            <a:t>Change in tax rate</a:t>
          </a:r>
        </a:p>
        <a:p>
          <a:pPr lvl="1"/>
          <a:r>
            <a:rPr lang="en-US" sz="1100"/>
            <a:t>Trade regulations, domestic and international</a:t>
          </a:r>
        </a:p>
        <a:p>
          <a:pPr lvl="1"/>
          <a:r>
            <a:rPr lang="en-US" sz="1100"/>
            <a:t>Monetary policy</a:t>
          </a:r>
        </a:p>
        <a:p>
          <a:endParaRPr lang="en-US" sz="1100"/>
        </a:p>
        <a:p>
          <a:r>
            <a:rPr lang="en-US" sz="1100" b="1" u="sng"/>
            <a:t>Order Cost Calculation (S)</a:t>
          </a:r>
        </a:p>
        <a:p>
          <a:r>
            <a:rPr lang="en-US" sz="1100"/>
            <a:t>This refers to the costs that are involved with an order but cannot be directly associated with the purchase cost.</a:t>
          </a:r>
        </a:p>
        <a:p>
          <a:r>
            <a:rPr lang="en-US" sz="1100"/>
            <a:t>Examples include,</a:t>
          </a:r>
        </a:p>
        <a:p>
          <a:r>
            <a:rPr lang="en-US" sz="1100"/>
            <a:t>► Transport charges and custom duties incurred during the movement of the items</a:t>
          </a:r>
        </a:p>
        <a:p>
          <a:r>
            <a:rPr lang="en-US" sz="1100"/>
            <a:t>► Clerical charges paid to an outsourced agency for recording transaction</a:t>
          </a:r>
        </a:p>
        <a:p>
          <a:r>
            <a:rPr lang="en-US" sz="1100"/>
            <a:t>► Salary paid to the quality check team before the items enter your warehouse</a:t>
          </a:r>
        </a:p>
        <a:p>
          <a:r>
            <a:rPr lang="en-US" sz="1100"/>
            <a:t>► Amount spent in setting up a machine or equipments</a:t>
          </a:r>
        </a:p>
        <a:p>
          <a:endParaRPr lang="en-US" sz="1100"/>
        </a:p>
        <a:p>
          <a:r>
            <a:rPr lang="en-US" sz="1100" b="1" u="sng"/>
            <a:t>Holding cost calculation (H) per unit per year</a:t>
          </a:r>
        </a:p>
        <a:p>
          <a:r>
            <a:rPr lang="en-US" sz="1100"/>
            <a:t>This refers to all the costs that are involved in storing or handling the items in your store or warehouse. Usually, holding costs are fixed in nature.</a:t>
          </a:r>
        </a:p>
        <a:p>
          <a:r>
            <a:rPr lang="en-US" sz="1100"/>
            <a:t>Examples include,</a:t>
          </a:r>
        </a:p>
        <a:p>
          <a:r>
            <a:rPr lang="en-US" sz="1100"/>
            <a:t>► Monthly rent for the shop or warehouse that you use to store items</a:t>
          </a:r>
        </a:p>
        <a:p>
          <a:r>
            <a:rPr lang="en-US" sz="1100"/>
            <a:t>► Employees salary and warehouse labor wages</a:t>
          </a:r>
        </a:p>
        <a:p>
          <a:r>
            <a:rPr lang="en-US" sz="1100"/>
            <a:t>► Electricity and insurance cost</a:t>
          </a:r>
        </a:p>
        <a:p>
          <a:endParaRPr lang="en-US" sz="1100"/>
        </a:p>
        <a:p>
          <a:r>
            <a:rPr lang="en-US" sz="1100" b="1" u="sng"/>
            <a:t>Average Age of Inventory Day's Sales in Inventory (DSI):</a:t>
          </a:r>
        </a:p>
        <a:p>
          <a:r>
            <a:rPr lang="en-US" sz="1100"/>
            <a:t>(Average cost of inventory</a:t>
          </a:r>
          <a:r>
            <a:rPr lang="en-US" sz="1100" baseline="0"/>
            <a:t> at its present level) / (Cost of Goods Sold) * 365</a:t>
          </a:r>
        </a:p>
        <a:p>
          <a:r>
            <a:rPr lang="en-US" sz="1100" baseline="0"/>
            <a:t>Lower DSI the better</a:t>
          </a:r>
          <a:endParaRPr lang="en-US" sz="1100"/>
        </a:p>
        <a:p>
          <a:endParaRPr lang="en-US" sz="1100"/>
        </a:p>
        <a:p>
          <a:r>
            <a:rPr lang="en-US" sz="1100" b="1" u="sng"/>
            <a:t>Simulate by: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Sourcing</a:t>
          </a:r>
          <a:r>
            <a:rPr lang="en-US" sz="1100" baseline="0"/>
            <a:t> proportion / mix by suppliers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MOQ by suppliers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Qality factor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2</xdr:row>
      <xdr:rowOff>0</xdr:rowOff>
    </xdr:from>
    <xdr:to>
      <xdr:col>47</xdr:col>
      <xdr:colOff>276225</xdr:colOff>
      <xdr:row>19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13C5F46-1B77-44AC-9B2A-F889E56F2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</xdr:row>
      <xdr:rowOff>190499</xdr:rowOff>
    </xdr:from>
    <xdr:to>
      <xdr:col>17</xdr:col>
      <xdr:colOff>0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55909FB6-38FF-4791-AB0C-B957EF89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31</xdr:row>
      <xdr:rowOff>0</xdr:rowOff>
    </xdr:from>
    <xdr:to>
      <xdr:col>31</xdr:col>
      <xdr:colOff>0</xdr:colOff>
      <xdr:row>48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4762</xdr:rowOff>
    </xdr:from>
    <xdr:to>
      <xdr:col>19</xdr:col>
      <xdr:colOff>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200024</xdr:rowOff>
    </xdr:from>
    <xdr:to>
      <xdr:col>29</xdr:col>
      <xdr:colOff>0</xdr:colOff>
      <xdr:row>17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190500</xdr:rowOff>
    </xdr:from>
    <xdr:to>
      <xdr:col>22</xdr:col>
      <xdr:colOff>0</xdr:colOff>
      <xdr:row>19</xdr:row>
      <xdr:rowOff>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9E7F9F-1AB0-4B14-8F74-E3A0AD91DE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9906000" y="390525"/>
              <a:ext cx="73152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topLeftCell="A19" zoomScale="90" zoomScaleNormal="90" workbookViewId="0">
      <selection activeCell="F35" activeCellId="1" sqref="K38 F35"/>
    </sheetView>
  </sheetViews>
  <sheetFormatPr defaultRowHeight="15" x14ac:dyDescent="0.25"/>
  <cols>
    <col min="2" max="2" width="28" bestFit="1" customWidth="1"/>
    <col min="3" max="3" width="20.42578125" customWidth="1"/>
    <col min="4" max="4" width="14.85546875" bestFit="1" customWidth="1"/>
    <col min="5" max="5" width="11.85546875" bestFit="1" customWidth="1"/>
    <col min="6" max="6" width="21" customWidth="1"/>
    <col min="7" max="7" width="26.5703125" customWidth="1"/>
    <col min="8" max="8" width="10.140625" bestFit="1" customWidth="1"/>
    <col min="9" max="9" width="15.140625" bestFit="1" customWidth="1"/>
    <col min="10" max="10" width="25" bestFit="1" customWidth="1"/>
    <col min="11" max="11" width="28.7109375" bestFit="1" customWidth="1"/>
    <col min="12" max="12" width="28.7109375" customWidth="1"/>
    <col min="13" max="13" width="21.7109375" bestFit="1" customWidth="1"/>
    <col min="14" max="14" width="22.140625" style="1" bestFit="1" customWidth="1"/>
    <col min="16" max="16" width="13.42578125" bestFit="1" customWidth="1"/>
    <col min="18" max="18" width="21.7109375" bestFit="1" customWidth="1"/>
    <col min="19" max="19" width="22.140625" style="6" bestFit="1" customWidth="1"/>
    <col min="21" max="21" width="13.42578125" bestFit="1" customWidth="1"/>
    <col min="23" max="23" width="21.7109375" bestFit="1" customWidth="1"/>
    <col min="24" max="24" width="22.140625" style="6" bestFit="1" customWidth="1"/>
    <col min="26" max="26" width="13.42578125" bestFit="1" customWidth="1"/>
    <col min="28" max="28" width="10" bestFit="1" customWidth="1"/>
    <col min="30" max="30" width="13.5703125" bestFit="1" customWidth="1"/>
  </cols>
  <sheetData>
    <row r="1" spans="1:31" x14ac:dyDescent="0.25">
      <c r="A1" s="147" t="s">
        <v>0</v>
      </c>
      <c r="B1" s="148" t="s">
        <v>10</v>
      </c>
      <c r="C1" s="148" t="s">
        <v>1</v>
      </c>
      <c r="D1" s="148" t="s">
        <v>20</v>
      </c>
      <c r="E1" s="148" t="s">
        <v>114</v>
      </c>
      <c r="F1" s="148" t="s">
        <v>34</v>
      </c>
      <c r="G1" s="148" t="s">
        <v>35</v>
      </c>
      <c r="H1" s="148" t="s">
        <v>29</v>
      </c>
      <c r="I1" s="148" t="s">
        <v>113</v>
      </c>
      <c r="J1" s="148" t="s">
        <v>33</v>
      </c>
      <c r="K1" s="148" t="s">
        <v>36</v>
      </c>
      <c r="L1" s="148" t="s">
        <v>37</v>
      </c>
      <c r="M1" s="149" t="s">
        <v>6</v>
      </c>
      <c r="N1" s="149"/>
      <c r="O1" s="149"/>
      <c r="P1" s="149"/>
      <c r="Q1" s="149"/>
      <c r="R1" s="149" t="s">
        <v>7</v>
      </c>
      <c r="S1" s="149"/>
      <c r="T1" s="149"/>
      <c r="U1" s="149"/>
      <c r="V1" s="149"/>
      <c r="W1" s="149" t="s">
        <v>8</v>
      </c>
      <c r="X1" s="149"/>
      <c r="Y1" s="149"/>
      <c r="Z1" s="149"/>
      <c r="AA1" s="149"/>
      <c r="AB1" s="149" t="s">
        <v>55</v>
      </c>
      <c r="AC1" s="149"/>
      <c r="AD1" s="149"/>
      <c r="AE1" s="150"/>
    </row>
    <row r="2" spans="1:31" ht="15.75" thickBot="1" x14ac:dyDescent="0.3">
      <c r="A2" s="151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3" t="s">
        <v>54</v>
      </c>
      <c r="N2" s="153" t="s">
        <v>53</v>
      </c>
      <c r="O2" s="153" t="s">
        <v>3</v>
      </c>
      <c r="P2" s="153" t="s">
        <v>4</v>
      </c>
      <c r="Q2" s="153" t="s">
        <v>5</v>
      </c>
      <c r="R2" s="153" t="s">
        <v>54</v>
      </c>
      <c r="S2" s="153" t="s">
        <v>53</v>
      </c>
      <c r="T2" s="153" t="s">
        <v>3</v>
      </c>
      <c r="U2" s="153" t="s">
        <v>4</v>
      </c>
      <c r="V2" s="153" t="s">
        <v>5</v>
      </c>
      <c r="W2" s="153" t="s">
        <v>54</v>
      </c>
      <c r="X2" s="153" t="s">
        <v>53</v>
      </c>
      <c r="Y2" s="153" t="s">
        <v>3</v>
      </c>
      <c r="Z2" s="153" t="s">
        <v>4</v>
      </c>
      <c r="AA2" s="153" t="s">
        <v>5</v>
      </c>
      <c r="AB2" s="153" t="s">
        <v>2</v>
      </c>
      <c r="AC2" s="153" t="s">
        <v>3</v>
      </c>
      <c r="AD2" s="153" t="s">
        <v>4</v>
      </c>
      <c r="AE2" s="154" t="s">
        <v>5</v>
      </c>
    </row>
    <row r="4" spans="1:31" x14ac:dyDescent="0.25">
      <c r="A4">
        <v>1</v>
      </c>
      <c r="B4" t="s">
        <v>115</v>
      </c>
      <c r="D4" t="s">
        <v>23</v>
      </c>
      <c r="E4">
        <v>1</v>
      </c>
      <c r="F4">
        <f>Est_Std_Vol*E4*12</f>
        <v>6000</v>
      </c>
      <c r="G4">
        <f t="shared" ref="G4:G11" si="0">Est_Prem_Vol*E4*12</f>
        <v>1200</v>
      </c>
      <c r="H4" t="s">
        <v>32</v>
      </c>
      <c r="I4" s="3">
        <v>295</v>
      </c>
      <c r="J4" s="3">
        <v>375</v>
      </c>
      <c r="K4" s="3">
        <f t="shared" ref="K4:L9" si="1">I4*F4</f>
        <v>1770000</v>
      </c>
      <c r="L4" s="3">
        <f t="shared" si="1"/>
        <v>450000</v>
      </c>
      <c r="M4">
        <v>4</v>
      </c>
      <c r="N4" s="3">
        <v>6</v>
      </c>
      <c r="O4" s="3">
        <v>25</v>
      </c>
      <c r="Q4">
        <v>275</v>
      </c>
      <c r="R4" s="6">
        <v>6</v>
      </c>
      <c r="S4" s="3">
        <v>8</v>
      </c>
      <c r="T4" s="3">
        <v>30</v>
      </c>
      <c r="U4" s="6"/>
      <c r="V4" s="6">
        <v>290</v>
      </c>
      <c r="W4" s="6">
        <v>3</v>
      </c>
      <c r="X4" s="3">
        <v>5</v>
      </c>
      <c r="Y4" s="3">
        <v>20</v>
      </c>
      <c r="Z4" s="6"/>
      <c r="AA4" s="6">
        <v>260</v>
      </c>
      <c r="AB4" s="6"/>
      <c r="AC4" s="6"/>
    </row>
    <row r="5" spans="1:31" x14ac:dyDescent="0.25">
      <c r="A5">
        <v>2</v>
      </c>
      <c r="B5" t="s">
        <v>9</v>
      </c>
      <c r="C5" t="s">
        <v>12</v>
      </c>
      <c r="D5" t="s">
        <v>23</v>
      </c>
      <c r="E5">
        <v>1</v>
      </c>
      <c r="F5" s="1">
        <f t="shared" ref="F5:F12" si="2">Est_Std_Vol*E5*12</f>
        <v>6000</v>
      </c>
      <c r="G5" s="1">
        <f t="shared" si="0"/>
        <v>1200</v>
      </c>
      <c r="H5" t="s">
        <v>32</v>
      </c>
      <c r="I5" s="3">
        <v>515</v>
      </c>
      <c r="J5" s="3">
        <v>515</v>
      </c>
      <c r="K5" s="3">
        <f t="shared" si="1"/>
        <v>3090000</v>
      </c>
      <c r="L5" s="3">
        <f t="shared" si="1"/>
        <v>618000</v>
      </c>
      <c r="M5" s="1">
        <v>10</v>
      </c>
      <c r="N5" s="3">
        <v>12</v>
      </c>
      <c r="O5" s="3">
        <v>100</v>
      </c>
      <c r="Q5">
        <v>490</v>
      </c>
      <c r="R5" s="6">
        <v>12</v>
      </c>
      <c r="S5" s="3">
        <v>14</v>
      </c>
      <c r="T5" s="3">
        <v>120</v>
      </c>
      <c r="U5" s="6"/>
      <c r="V5" s="6">
        <v>500</v>
      </c>
      <c r="W5" s="6">
        <v>9</v>
      </c>
      <c r="X5" s="3">
        <v>11</v>
      </c>
      <c r="Y5" s="3">
        <v>90</v>
      </c>
      <c r="Z5" s="6"/>
      <c r="AA5" s="6">
        <v>480</v>
      </c>
      <c r="AB5" s="6"/>
      <c r="AC5" s="6"/>
    </row>
    <row r="6" spans="1:31" x14ac:dyDescent="0.25">
      <c r="A6">
        <v>3</v>
      </c>
      <c r="B6" t="s">
        <v>11</v>
      </c>
      <c r="C6" t="s">
        <v>13</v>
      </c>
      <c r="D6" t="s">
        <v>23</v>
      </c>
      <c r="E6">
        <v>1</v>
      </c>
      <c r="F6" s="1">
        <f t="shared" si="2"/>
        <v>6000</v>
      </c>
      <c r="G6" s="1">
        <f t="shared" si="0"/>
        <v>1200</v>
      </c>
      <c r="H6" t="s">
        <v>32</v>
      </c>
      <c r="I6" s="3">
        <v>520</v>
      </c>
      <c r="J6" s="3">
        <v>520</v>
      </c>
      <c r="K6" s="3">
        <f t="shared" si="1"/>
        <v>3120000</v>
      </c>
      <c r="L6" s="3">
        <f t="shared" si="1"/>
        <v>624000</v>
      </c>
      <c r="M6" s="1">
        <v>10</v>
      </c>
      <c r="N6" s="3">
        <v>12</v>
      </c>
      <c r="O6" s="3">
        <v>100</v>
      </c>
      <c r="Q6">
        <v>495</v>
      </c>
      <c r="R6" s="6">
        <v>12</v>
      </c>
      <c r="S6" s="3">
        <v>14</v>
      </c>
      <c r="T6" s="3">
        <v>120</v>
      </c>
      <c r="U6" s="6"/>
      <c r="V6" s="6">
        <v>500</v>
      </c>
      <c r="W6" s="6">
        <v>9</v>
      </c>
      <c r="X6" s="3">
        <v>11</v>
      </c>
      <c r="Y6" s="3">
        <v>90</v>
      </c>
      <c r="Z6" s="6"/>
      <c r="AA6" s="6">
        <v>480</v>
      </c>
      <c r="AB6" s="6"/>
      <c r="AC6" s="6"/>
    </row>
    <row r="7" spans="1:31" x14ac:dyDescent="0.25">
      <c r="A7">
        <v>4</v>
      </c>
      <c r="B7" t="s">
        <v>14</v>
      </c>
      <c r="D7" t="s">
        <v>23</v>
      </c>
      <c r="E7">
        <v>1</v>
      </c>
      <c r="F7" s="1">
        <f t="shared" si="2"/>
        <v>6000</v>
      </c>
      <c r="G7" s="1">
        <f t="shared" si="0"/>
        <v>1200</v>
      </c>
      <c r="H7" t="s">
        <v>32</v>
      </c>
      <c r="I7" s="3">
        <v>1200</v>
      </c>
      <c r="J7" s="3">
        <v>1200</v>
      </c>
      <c r="K7" s="3">
        <f t="shared" si="1"/>
        <v>7200000</v>
      </c>
      <c r="L7" s="3">
        <f t="shared" si="1"/>
        <v>1440000</v>
      </c>
      <c r="M7">
        <v>12</v>
      </c>
      <c r="N7" s="3">
        <v>15</v>
      </c>
      <c r="O7" s="3">
        <v>20</v>
      </c>
      <c r="Q7">
        <v>900</v>
      </c>
      <c r="R7" s="6">
        <v>14</v>
      </c>
      <c r="S7" s="3">
        <v>17</v>
      </c>
      <c r="T7" s="3">
        <v>40</v>
      </c>
      <c r="U7" s="6"/>
      <c r="V7" s="6">
        <v>1000</v>
      </c>
      <c r="W7" s="6">
        <v>11</v>
      </c>
      <c r="X7" s="3">
        <v>14</v>
      </c>
      <c r="Y7" s="3">
        <v>15</v>
      </c>
      <c r="Z7" s="6"/>
      <c r="AA7" s="6">
        <v>850</v>
      </c>
      <c r="AB7" s="6"/>
      <c r="AC7" s="6"/>
    </row>
    <row r="8" spans="1:31" x14ac:dyDescent="0.25">
      <c r="A8">
        <v>5</v>
      </c>
      <c r="B8" t="s">
        <v>15</v>
      </c>
      <c r="D8" t="s">
        <v>23</v>
      </c>
      <c r="E8">
        <v>1</v>
      </c>
      <c r="F8" s="1">
        <f t="shared" si="2"/>
        <v>6000</v>
      </c>
      <c r="G8" s="1">
        <f t="shared" si="0"/>
        <v>1200</v>
      </c>
      <c r="H8" t="s">
        <v>32</v>
      </c>
      <c r="I8" s="3">
        <v>1500</v>
      </c>
      <c r="J8" s="3">
        <v>1500</v>
      </c>
      <c r="K8" s="3">
        <f t="shared" si="1"/>
        <v>9000000</v>
      </c>
      <c r="L8" s="3">
        <f t="shared" si="1"/>
        <v>1800000</v>
      </c>
      <c r="M8">
        <v>16</v>
      </c>
      <c r="N8" s="3">
        <v>21</v>
      </c>
      <c r="O8" s="3">
        <v>250</v>
      </c>
      <c r="Q8">
        <v>1450</v>
      </c>
      <c r="R8" s="6">
        <v>18</v>
      </c>
      <c r="S8" s="3">
        <v>23</v>
      </c>
      <c r="T8" s="3">
        <v>280</v>
      </c>
      <c r="U8" s="6"/>
      <c r="V8" s="6">
        <v>1500</v>
      </c>
      <c r="W8" s="6">
        <v>15</v>
      </c>
      <c r="X8" s="3">
        <v>20</v>
      </c>
      <c r="Y8" s="3">
        <v>225</v>
      </c>
      <c r="Z8" s="6"/>
      <c r="AA8" s="6">
        <v>1400</v>
      </c>
      <c r="AB8" s="6"/>
      <c r="AC8" s="6"/>
    </row>
    <row r="9" spans="1:31" x14ac:dyDescent="0.25">
      <c r="A9">
        <v>6</v>
      </c>
      <c r="B9" t="s">
        <v>16</v>
      </c>
      <c r="D9" t="s">
        <v>23</v>
      </c>
      <c r="E9">
        <v>1</v>
      </c>
      <c r="F9" s="1">
        <f t="shared" si="2"/>
        <v>6000</v>
      </c>
      <c r="G9" s="1">
        <f t="shared" si="0"/>
        <v>1200</v>
      </c>
      <c r="H9" t="s">
        <v>32</v>
      </c>
      <c r="I9" s="3">
        <v>1100</v>
      </c>
      <c r="J9" s="3">
        <v>1100</v>
      </c>
      <c r="K9" s="3">
        <f t="shared" si="1"/>
        <v>6600000</v>
      </c>
      <c r="L9" s="3">
        <f t="shared" si="1"/>
        <v>1320000</v>
      </c>
      <c r="M9">
        <v>10</v>
      </c>
      <c r="N9" s="3">
        <v>15</v>
      </c>
      <c r="O9" s="3">
        <v>200</v>
      </c>
      <c r="Q9">
        <v>1050</v>
      </c>
      <c r="R9" s="6">
        <v>12</v>
      </c>
      <c r="S9" s="3">
        <v>17</v>
      </c>
      <c r="T9" s="3">
        <v>250</v>
      </c>
      <c r="U9" s="6"/>
      <c r="V9" s="6">
        <v>1200</v>
      </c>
      <c r="W9" s="6">
        <v>9</v>
      </c>
      <c r="X9" s="3">
        <v>14</v>
      </c>
      <c r="Y9" s="3">
        <v>175</v>
      </c>
      <c r="Z9" s="6"/>
      <c r="AA9" s="6">
        <v>1000</v>
      </c>
      <c r="AB9" s="6"/>
      <c r="AC9" s="6"/>
    </row>
    <row r="10" spans="1:31" x14ac:dyDescent="0.25">
      <c r="A10">
        <v>7</v>
      </c>
      <c r="B10" t="s">
        <v>17</v>
      </c>
      <c r="C10" t="s">
        <v>18</v>
      </c>
      <c r="D10" t="s">
        <v>23</v>
      </c>
      <c r="E10">
        <v>2</v>
      </c>
      <c r="F10" s="1">
        <f t="shared" si="2"/>
        <v>12000</v>
      </c>
      <c r="G10" s="1">
        <f t="shared" si="0"/>
        <v>2400</v>
      </c>
      <c r="H10" t="s">
        <v>32</v>
      </c>
      <c r="I10" s="3">
        <f>300/2</f>
        <v>150</v>
      </c>
      <c r="J10" s="3">
        <v>300</v>
      </c>
      <c r="K10" s="3">
        <f>I10*F10</f>
        <v>1800000</v>
      </c>
      <c r="L10" s="3">
        <f>J10*G10/2</f>
        <v>360000</v>
      </c>
      <c r="M10">
        <v>8</v>
      </c>
      <c r="N10" s="3">
        <v>10</v>
      </c>
      <c r="O10" s="3">
        <v>75</v>
      </c>
      <c r="Q10">
        <f>200/2</f>
        <v>100</v>
      </c>
      <c r="R10" s="6">
        <v>10</v>
      </c>
      <c r="S10" s="3">
        <v>12</v>
      </c>
      <c r="T10" s="3">
        <v>120</v>
      </c>
      <c r="U10" s="6"/>
      <c r="V10" s="6">
        <f>250/2</f>
        <v>125</v>
      </c>
      <c r="W10" s="6">
        <v>7</v>
      </c>
      <c r="X10" s="3">
        <v>9</v>
      </c>
      <c r="Y10" s="3">
        <v>60</v>
      </c>
      <c r="Z10" s="6"/>
      <c r="AA10" s="6">
        <f>175/2</f>
        <v>87.5</v>
      </c>
      <c r="AB10" s="6"/>
      <c r="AC10" s="6"/>
    </row>
    <row r="11" spans="1:31" x14ac:dyDescent="0.25">
      <c r="A11">
        <v>8</v>
      </c>
      <c r="B11" t="s">
        <v>19</v>
      </c>
      <c r="D11" t="s">
        <v>23</v>
      </c>
      <c r="E11">
        <v>1</v>
      </c>
      <c r="F11" s="1">
        <f t="shared" si="2"/>
        <v>6000</v>
      </c>
      <c r="G11" s="1">
        <f t="shared" si="0"/>
        <v>1200</v>
      </c>
      <c r="H11" t="s">
        <v>31</v>
      </c>
      <c r="I11" s="3">
        <v>1100</v>
      </c>
      <c r="J11" s="3">
        <v>1100</v>
      </c>
      <c r="K11" s="3">
        <f t="shared" ref="K11:L15" si="3">I11*F11</f>
        <v>6600000</v>
      </c>
      <c r="L11" s="3">
        <f t="shared" si="3"/>
        <v>1320000</v>
      </c>
      <c r="R11" s="6"/>
      <c r="T11" s="6"/>
      <c r="U11" s="6"/>
      <c r="V11" s="6"/>
      <c r="W11" s="6"/>
      <c r="Y11" s="6"/>
      <c r="Z11" s="6"/>
      <c r="AA11" s="6"/>
      <c r="AB11" s="6"/>
      <c r="AC11" s="6"/>
    </row>
    <row r="12" spans="1:31" x14ac:dyDescent="0.25">
      <c r="A12">
        <v>9</v>
      </c>
      <c r="B12" t="s">
        <v>28</v>
      </c>
      <c r="D12" t="s">
        <v>21</v>
      </c>
      <c r="E12">
        <v>1</v>
      </c>
      <c r="F12" s="1">
        <f t="shared" si="2"/>
        <v>6000</v>
      </c>
      <c r="G12" s="1"/>
      <c r="H12" t="s">
        <v>31</v>
      </c>
      <c r="I12" s="3">
        <v>900</v>
      </c>
      <c r="J12" s="3"/>
      <c r="K12" s="3">
        <f t="shared" si="3"/>
        <v>5400000</v>
      </c>
      <c r="L12" s="3">
        <f t="shared" si="3"/>
        <v>0</v>
      </c>
      <c r="Q12">
        <v>850</v>
      </c>
      <c r="R12" s="6"/>
      <c r="T12" s="6"/>
      <c r="U12" s="6"/>
      <c r="V12" s="6">
        <v>950</v>
      </c>
      <c r="W12" s="6"/>
      <c r="Y12" s="6"/>
      <c r="Z12" s="6"/>
      <c r="AA12" s="6">
        <v>840</v>
      </c>
      <c r="AB12" s="6"/>
      <c r="AC12" s="6"/>
    </row>
    <row r="13" spans="1:31" x14ac:dyDescent="0.25">
      <c r="A13">
        <v>10</v>
      </c>
      <c r="B13" t="s">
        <v>25</v>
      </c>
      <c r="D13" t="s">
        <v>22</v>
      </c>
      <c r="E13">
        <v>1</v>
      </c>
      <c r="F13" s="1"/>
      <c r="G13" s="1">
        <f>Est_Prem_Vol*E13*12</f>
        <v>1200</v>
      </c>
      <c r="H13" t="s">
        <v>32</v>
      </c>
      <c r="I13" s="3">
        <v>655</v>
      </c>
      <c r="J13" s="3">
        <v>655</v>
      </c>
      <c r="K13" s="3">
        <f t="shared" si="3"/>
        <v>0</v>
      </c>
      <c r="L13" s="3">
        <f t="shared" si="3"/>
        <v>786000</v>
      </c>
    </row>
    <row r="14" spans="1:31" x14ac:dyDescent="0.25">
      <c r="A14">
        <v>11</v>
      </c>
      <c r="B14" t="s">
        <v>27</v>
      </c>
      <c r="D14" t="s">
        <v>22</v>
      </c>
      <c r="E14">
        <v>1</v>
      </c>
      <c r="F14" s="1"/>
      <c r="G14" s="1">
        <f>Est_Prem_Vol*E14*12</f>
        <v>1200</v>
      </c>
      <c r="H14" t="s">
        <v>31</v>
      </c>
      <c r="I14" s="3">
        <v>1030</v>
      </c>
      <c r="J14" s="3">
        <v>1030</v>
      </c>
      <c r="K14" s="3">
        <f t="shared" si="3"/>
        <v>0</v>
      </c>
      <c r="L14" s="3">
        <f t="shared" si="3"/>
        <v>1236000</v>
      </c>
    </row>
    <row r="15" spans="1:31" x14ac:dyDescent="0.25">
      <c r="A15">
        <v>12</v>
      </c>
      <c r="B15" t="s">
        <v>26</v>
      </c>
      <c r="D15" t="s">
        <v>22</v>
      </c>
      <c r="E15">
        <v>1</v>
      </c>
      <c r="F15" s="1"/>
      <c r="G15" s="1">
        <f>Est_Prem_Vol*E15*12</f>
        <v>1200</v>
      </c>
      <c r="H15" t="s">
        <v>31</v>
      </c>
      <c r="I15" s="3">
        <v>775</v>
      </c>
      <c r="J15" s="3">
        <v>775</v>
      </c>
      <c r="K15" s="3">
        <f t="shared" si="3"/>
        <v>0</v>
      </c>
      <c r="L15" s="3">
        <f t="shared" si="3"/>
        <v>930000</v>
      </c>
    </row>
    <row r="16" spans="1:31" x14ac:dyDescent="0.25">
      <c r="I16" s="3"/>
      <c r="J16" s="3"/>
      <c r="K16" s="3"/>
      <c r="L16" s="3"/>
    </row>
    <row r="17" spans="2:14" x14ac:dyDescent="0.25">
      <c r="I17" s="3">
        <v>7310</v>
      </c>
      <c r="J17" s="3">
        <v>9350</v>
      </c>
      <c r="K17" s="3">
        <f>SUM(K4:K15)</f>
        <v>44580000</v>
      </c>
      <c r="L17" s="3">
        <f>SUM(L4:L15)</f>
        <v>10884000</v>
      </c>
    </row>
    <row r="18" spans="2:14" x14ac:dyDescent="0.25">
      <c r="I18" s="3"/>
      <c r="J18" s="3"/>
      <c r="K18" s="3"/>
      <c r="L18" s="3"/>
    </row>
    <row r="19" spans="2:14" x14ac:dyDescent="0.25">
      <c r="I19" s="3"/>
      <c r="J19" s="3"/>
      <c r="K19" s="3"/>
      <c r="L19" s="3"/>
    </row>
    <row r="20" spans="2:14" x14ac:dyDescent="0.25">
      <c r="F20" t="s">
        <v>42</v>
      </c>
      <c r="G20" t="s">
        <v>42</v>
      </c>
      <c r="I20" s="3"/>
      <c r="J20" s="3"/>
      <c r="K20" s="3"/>
      <c r="L20" s="3"/>
    </row>
    <row r="21" spans="2:14" x14ac:dyDescent="0.25">
      <c r="B21" t="s">
        <v>38</v>
      </c>
      <c r="F21">
        <v>40</v>
      </c>
      <c r="G21">
        <v>60</v>
      </c>
      <c r="I21" s="3">
        <f>F21*50</f>
        <v>2000</v>
      </c>
      <c r="J21" s="3">
        <f>G21*55</f>
        <v>3300</v>
      </c>
      <c r="K21" s="3">
        <f>I21*500*12</f>
        <v>12000000</v>
      </c>
      <c r="L21" s="3">
        <f>J21*100*12</f>
        <v>3960000</v>
      </c>
      <c r="M21" s="3"/>
      <c r="N21" s="3"/>
    </row>
    <row r="22" spans="2:14" x14ac:dyDescent="0.25">
      <c r="B22" t="s">
        <v>39</v>
      </c>
      <c r="I22" s="3"/>
      <c r="J22" s="3"/>
      <c r="K22" s="5"/>
      <c r="L22" s="4"/>
      <c r="M22" s="4"/>
      <c r="N22" s="4"/>
    </row>
    <row r="23" spans="2:14" x14ac:dyDescent="0.25">
      <c r="B23" t="s">
        <v>40</v>
      </c>
    </row>
    <row r="24" spans="2:14" x14ac:dyDescent="0.25">
      <c r="B24" t="s">
        <v>41</v>
      </c>
    </row>
    <row r="26" spans="2:14" x14ac:dyDescent="0.25">
      <c r="B26" t="s">
        <v>46</v>
      </c>
      <c r="I26" s="3">
        <f>SUM(I21,I17)</f>
        <v>9310</v>
      </c>
      <c r="J26" s="3">
        <f>SUM(J21,J17)</f>
        <v>12650</v>
      </c>
      <c r="K26" s="3">
        <f>SUM(K21,K17)</f>
        <v>56580000</v>
      </c>
      <c r="L26" s="3">
        <f>SUM(L21,L17)</f>
        <v>14844000</v>
      </c>
      <c r="M26" s="3">
        <f>SUM(K26:L26)</f>
        <v>71424000</v>
      </c>
      <c r="N26" s="3"/>
    </row>
    <row r="27" spans="2:14" x14ac:dyDescent="0.25">
      <c r="K27">
        <f>K26/M26</f>
        <v>0.79217069892473113</v>
      </c>
      <c r="L27">
        <f>L26/M26</f>
        <v>0.20782930107526881</v>
      </c>
    </row>
    <row r="29" spans="2:14" x14ac:dyDescent="0.25">
      <c r="B29" t="s">
        <v>47</v>
      </c>
      <c r="C29">
        <v>100000</v>
      </c>
      <c r="K29">
        <f>C29*K27</f>
        <v>79217.069892473111</v>
      </c>
      <c r="L29">
        <f>C29*L27</f>
        <v>20782.930107526881</v>
      </c>
      <c r="M29">
        <f>SUM(K29:L29)</f>
        <v>100000</v>
      </c>
    </row>
    <row r="30" spans="2:14" x14ac:dyDescent="0.25">
      <c r="B30" t="s">
        <v>43</v>
      </c>
    </row>
    <row r="31" spans="2:14" x14ac:dyDescent="0.25">
      <c r="B31" t="s">
        <v>44</v>
      </c>
    </row>
    <row r="32" spans="2:14" x14ac:dyDescent="0.25">
      <c r="B32" t="s">
        <v>45</v>
      </c>
    </row>
    <row r="34" spans="2:14" x14ac:dyDescent="0.25">
      <c r="B34" t="s">
        <v>48</v>
      </c>
      <c r="K34" s="3">
        <f>SUM(K29,K26)</f>
        <v>56659217.069892474</v>
      </c>
      <c r="L34" s="3">
        <f>SUM(L29,L26)</f>
        <v>14864782.930107526</v>
      </c>
      <c r="M34" s="3">
        <f>SUM(K34:L34)</f>
        <v>71524000</v>
      </c>
      <c r="N34" s="3"/>
    </row>
    <row r="36" spans="2:14" x14ac:dyDescent="0.25">
      <c r="B36" t="s">
        <v>49</v>
      </c>
      <c r="K36">
        <f>K34/500/12</f>
        <v>9443.2028449820791</v>
      </c>
      <c r="L36">
        <f>L34/100/12</f>
        <v>12387.319108422938</v>
      </c>
    </row>
    <row r="38" spans="2:14" x14ac:dyDescent="0.25">
      <c r="B38" t="s">
        <v>50</v>
      </c>
      <c r="K38">
        <f>K36/0.9</f>
        <v>10492.447605535643</v>
      </c>
      <c r="L38">
        <f>L36/0.85</f>
        <v>14573.316598144635</v>
      </c>
    </row>
  </sheetData>
  <mergeCells count="16">
    <mergeCell ref="AB1:AE1"/>
    <mergeCell ref="W1:AA1"/>
    <mergeCell ref="H1:H2"/>
    <mergeCell ref="F1:F2"/>
    <mergeCell ref="G1:G2"/>
    <mergeCell ref="K1:K2"/>
    <mergeCell ref="I1:I2"/>
    <mergeCell ref="J1:J2"/>
    <mergeCell ref="R1:V1"/>
    <mergeCell ref="A1:A2"/>
    <mergeCell ref="B1:B2"/>
    <mergeCell ref="C1:C2"/>
    <mergeCell ref="D1:D2"/>
    <mergeCell ref="M1:Q1"/>
    <mergeCell ref="E1:E2"/>
    <mergeCell ref="L1:L2"/>
  </mergeCells>
  <dataValidations disablePrompts="1" count="2">
    <dataValidation type="list" allowBlank="1" showInputMessage="1" showErrorMessage="1" sqref="D4:D15">
      <formula1>Model</formula1>
    </dataValidation>
    <dataValidation type="list" allowBlank="1" showInputMessage="1" showErrorMessage="1" sqref="H4:H15">
      <formula1>Make_Buy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N1" zoomScale="90" zoomScaleNormal="90" workbookViewId="0">
      <selection activeCell="X14" sqref="X14"/>
    </sheetView>
  </sheetViews>
  <sheetFormatPr defaultRowHeight="15" x14ac:dyDescent="0.25"/>
  <cols>
    <col min="1" max="1" width="11.28515625" bestFit="1" customWidth="1"/>
    <col min="2" max="2" width="28" bestFit="1" customWidth="1"/>
    <col min="3" max="3" width="11.5703125" bestFit="1" customWidth="1"/>
    <col min="4" max="7" width="6.7109375" style="7" bestFit="1" customWidth="1"/>
    <col min="8" max="8" width="11.5703125" style="7" bestFit="1" customWidth="1"/>
    <col min="9" max="11" width="5" style="8" bestFit="1" customWidth="1"/>
    <col min="12" max="14" width="8.7109375" style="8" customWidth="1"/>
    <col min="15" max="15" width="7.7109375" hidden="1" customWidth="1"/>
    <col min="16" max="17" width="7.7109375" style="7" bestFit="1" customWidth="1"/>
    <col min="18" max="18" width="10.42578125" style="7" bestFit="1" customWidth="1"/>
    <col min="19" max="19" width="10.42578125" bestFit="1" customWidth="1"/>
    <col min="20" max="20" width="5.5703125" hidden="1" customWidth="1"/>
    <col min="21" max="23" width="5.5703125" bestFit="1" customWidth="1"/>
    <col min="24" max="28" width="8.7109375" style="9" customWidth="1"/>
    <col min="29" max="29" width="13.28515625" style="9" bestFit="1" customWidth="1"/>
    <col min="30" max="30" width="11.7109375" style="9" bestFit="1" customWidth="1"/>
    <col min="31" max="31" width="9.28515625" bestFit="1" customWidth="1"/>
    <col min="32" max="32" width="11.5703125" bestFit="1" customWidth="1"/>
  </cols>
  <sheetData>
    <row r="1" spans="1:32" s="7" customFormat="1" x14ac:dyDescent="0.25">
      <c r="D1" s="7">
        <f>Supp1_wt</f>
        <v>0.4</v>
      </c>
      <c r="E1" s="7">
        <f>Supp2_wt</f>
        <v>0.33</v>
      </c>
      <c r="F1" s="7">
        <f>Supp3_wt</f>
        <v>0.26999999999999996</v>
      </c>
      <c r="I1" s="8"/>
      <c r="J1" s="8"/>
      <c r="K1" s="8"/>
      <c r="L1" s="8"/>
      <c r="M1" s="8"/>
      <c r="N1" s="8"/>
      <c r="P1" s="7">
        <v>0.15</v>
      </c>
      <c r="Q1" s="7">
        <v>0.12</v>
      </c>
      <c r="R1" s="7">
        <v>0.12</v>
      </c>
      <c r="S1" s="7">
        <v>0.2</v>
      </c>
      <c r="X1" s="9"/>
      <c r="Y1" s="9"/>
      <c r="Z1" s="9"/>
      <c r="AA1" s="9"/>
      <c r="AB1" s="9"/>
      <c r="AC1" s="9"/>
      <c r="AD1" s="9"/>
    </row>
    <row r="2" spans="1:32" x14ac:dyDescent="0.25">
      <c r="A2" s="121" t="s">
        <v>0</v>
      </c>
      <c r="B2" s="121" t="s">
        <v>10</v>
      </c>
      <c r="C2" s="121" t="s">
        <v>59</v>
      </c>
      <c r="D2" s="121"/>
      <c r="E2" s="121"/>
      <c r="F2" s="121"/>
      <c r="G2" s="122" t="s">
        <v>78</v>
      </c>
      <c r="H2" s="123"/>
      <c r="I2" s="121" t="s">
        <v>67</v>
      </c>
      <c r="J2" s="121"/>
      <c r="K2" s="121"/>
      <c r="L2" s="122" t="s">
        <v>68</v>
      </c>
      <c r="M2" s="124"/>
      <c r="N2" s="123"/>
      <c r="O2" s="121" t="s">
        <v>91</v>
      </c>
      <c r="P2" s="121"/>
      <c r="Q2" s="121"/>
      <c r="R2" s="121"/>
      <c r="S2" s="121" t="s">
        <v>92</v>
      </c>
      <c r="T2" s="121" t="s">
        <v>75</v>
      </c>
      <c r="U2" s="121"/>
      <c r="V2" s="121"/>
      <c r="W2" s="121"/>
      <c r="X2" s="122" t="s">
        <v>81</v>
      </c>
      <c r="Y2" s="124"/>
      <c r="Z2" s="123"/>
      <c r="AA2" s="121" t="s">
        <v>82</v>
      </c>
      <c r="AB2" s="121"/>
      <c r="AC2" s="121"/>
      <c r="AD2" s="125" t="s">
        <v>80</v>
      </c>
      <c r="AE2" s="121" t="s">
        <v>79</v>
      </c>
      <c r="AF2" s="121"/>
    </row>
    <row r="3" spans="1:32" ht="66" x14ac:dyDescent="0.25">
      <c r="A3" s="121"/>
      <c r="B3" s="121"/>
      <c r="C3" s="11" t="s">
        <v>62</v>
      </c>
      <c r="D3" s="11" t="s">
        <v>6</v>
      </c>
      <c r="E3" s="11" t="s">
        <v>7</v>
      </c>
      <c r="F3" s="11" t="s">
        <v>8</v>
      </c>
      <c r="G3" s="12" t="s">
        <v>77</v>
      </c>
      <c r="H3" s="12" t="s">
        <v>62</v>
      </c>
      <c r="I3" s="11" t="s">
        <v>6</v>
      </c>
      <c r="J3" s="11" t="s">
        <v>7</v>
      </c>
      <c r="K3" s="11" t="s">
        <v>8</v>
      </c>
      <c r="L3" s="11" t="s">
        <v>6</v>
      </c>
      <c r="M3" s="11" t="s">
        <v>7</v>
      </c>
      <c r="N3" s="11" t="s">
        <v>8</v>
      </c>
      <c r="O3" s="11" t="s">
        <v>63</v>
      </c>
      <c r="P3" s="11" t="s">
        <v>6</v>
      </c>
      <c r="Q3" s="11" t="s">
        <v>7</v>
      </c>
      <c r="R3" s="11" t="s">
        <v>8</v>
      </c>
      <c r="S3" s="121"/>
      <c r="T3" s="11" t="s">
        <v>63</v>
      </c>
      <c r="U3" s="11" t="s">
        <v>6</v>
      </c>
      <c r="V3" s="11" t="s">
        <v>7</v>
      </c>
      <c r="W3" s="11" t="s">
        <v>8</v>
      </c>
      <c r="X3" s="11" t="s">
        <v>6</v>
      </c>
      <c r="Y3" s="11" t="s">
        <v>7</v>
      </c>
      <c r="Z3" s="11" t="s">
        <v>8</v>
      </c>
      <c r="AA3" s="11" t="s">
        <v>6</v>
      </c>
      <c r="AB3" s="11" t="s">
        <v>7</v>
      </c>
      <c r="AC3" s="11" t="s">
        <v>8</v>
      </c>
      <c r="AD3" s="126"/>
      <c r="AE3" s="13" t="s">
        <v>76</v>
      </c>
      <c r="AF3" s="13" t="s">
        <v>62</v>
      </c>
    </row>
    <row r="4" spans="1:32" s="7" customFormat="1" x14ac:dyDescent="0.25">
      <c r="I4" s="8"/>
      <c r="J4" s="8"/>
      <c r="K4" s="8"/>
      <c r="L4" s="8"/>
      <c r="M4" s="8"/>
      <c r="N4" s="8"/>
      <c r="X4" s="9"/>
      <c r="Y4" s="9"/>
      <c r="Z4" s="9"/>
      <c r="AA4" s="9"/>
      <c r="AB4" s="9"/>
      <c r="AC4" s="9"/>
      <c r="AD4" s="9"/>
    </row>
    <row r="5" spans="1:32" x14ac:dyDescent="0.25">
      <c r="A5">
        <f>Basic_Data!A4</f>
        <v>1</v>
      </c>
      <c r="B5" t="str">
        <f>Basic_Data!B4</f>
        <v>Enclosure + Accessories</v>
      </c>
      <c r="C5" s="3">
        <f>Basic_Data!F4</f>
        <v>6000</v>
      </c>
      <c r="D5" s="3">
        <f>$C5*D$1</f>
        <v>2400</v>
      </c>
      <c r="E5" s="3">
        <f t="shared" ref="E5:F11" si="0">$C5*E$1</f>
        <v>1980</v>
      </c>
      <c r="F5" s="3">
        <f t="shared" si="0"/>
        <v>1619.9999999999998</v>
      </c>
      <c r="G5" s="3">
        <f>Basic_Data!I4</f>
        <v>295</v>
      </c>
      <c r="H5" s="3">
        <f>G5*C5</f>
        <v>1770000</v>
      </c>
      <c r="I5" s="3">
        <f>100</f>
        <v>100</v>
      </c>
      <c r="J5" s="3">
        <v>50</v>
      </c>
      <c r="K5" s="3">
        <v>50</v>
      </c>
      <c r="L5" s="3">
        <f t="shared" ref="L5:N11" si="1">ROUNDUP(D5/I5,0)</f>
        <v>24</v>
      </c>
      <c r="M5" s="3">
        <f t="shared" si="1"/>
        <v>40</v>
      </c>
      <c r="N5" s="3">
        <f t="shared" si="1"/>
        <v>33</v>
      </c>
      <c r="O5" s="3">
        <f>ROUNDUP(SUMPRODUCT(P5:R5,$D$1:$F$1),0)</f>
        <v>2410</v>
      </c>
      <c r="P5" s="15">
        <f>ROUNDUP($H5/SUM($L5:$N5)*P$1,0)</f>
        <v>2738</v>
      </c>
      <c r="Q5" s="15">
        <f t="shared" ref="P5:R11" si="2">ROUNDUP($H5/SUM($L5:$N5)*Q$1,0)</f>
        <v>2190</v>
      </c>
      <c r="R5" s="15">
        <f t="shared" si="2"/>
        <v>2190</v>
      </c>
      <c r="S5">
        <f>S$1*AE5</f>
        <v>55.18</v>
      </c>
      <c r="T5" s="14">
        <f>ROUNDUP(SUMPRODUCT(U5:W5,$D$1:$F$1),0)</f>
        <v>377</v>
      </c>
      <c r="U5">
        <f>EOQ_Sim!B1</f>
        <v>345</v>
      </c>
      <c r="V5" s="8">
        <f>EOQ_Sim!C1</f>
        <v>415</v>
      </c>
      <c r="W5" s="8">
        <f>EOQ_Sim!D1</f>
        <v>375</v>
      </c>
      <c r="X5" s="9">
        <f t="shared" ref="X5:Z11" si="3">CEILING(U5,I5)</f>
        <v>400</v>
      </c>
      <c r="Y5" s="10">
        <f t="shared" si="3"/>
        <v>450</v>
      </c>
      <c r="Z5" s="10">
        <f t="shared" si="3"/>
        <v>400</v>
      </c>
      <c r="AA5" s="9">
        <f t="shared" ref="AA5:AC11" si="4">ROUNDUP(D5/X5,0)</f>
        <v>6</v>
      </c>
      <c r="AB5" s="9">
        <f t="shared" si="4"/>
        <v>5</v>
      </c>
      <c r="AC5" s="9">
        <f t="shared" si="4"/>
        <v>5</v>
      </c>
      <c r="AD5" s="3">
        <f>SUMPRODUCT(AA5:AC5,P5:R5)</f>
        <v>38328</v>
      </c>
      <c r="AE5" s="4">
        <f>Basic_Data!Q4*Supp1_wt+Basic_Data!V4*Supp2_wt+Basic_Data!AA4*Supp3_wt</f>
        <v>275.89999999999998</v>
      </c>
      <c r="AF5" s="3">
        <f>SUMPRODUCT(L5:N5,I5:K5)*AE5</f>
        <v>1669194.9999999998</v>
      </c>
    </row>
    <row r="6" spans="1:32" x14ac:dyDescent="0.25">
      <c r="A6" s="9">
        <f>Basic_Data!A5</f>
        <v>2</v>
      </c>
      <c r="B6" s="9" t="str">
        <f>Basic_Data!B5</f>
        <v>Transformer1</v>
      </c>
      <c r="C6" s="3">
        <f>Basic_Data!F5</f>
        <v>6000</v>
      </c>
      <c r="D6" s="3">
        <f t="shared" ref="D6:D11" si="5">$C6*D$1</f>
        <v>2400</v>
      </c>
      <c r="E6" s="3">
        <f t="shared" si="0"/>
        <v>1980</v>
      </c>
      <c r="F6" s="3">
        <f t="shared" si="0"/>
        <v>1619.9999999999998</v>
      </c>
      <c r="G6" s="3">
        <f>Basic_Data!I5</f>
        <v>515</v>
      </c>
      <c r="H6" s="3">
        <f t="shared" ref="H6:H11" si="6">G6*C6</f>
        <v>3090000</v>
      </c>
      <c r="I6" s="3">
        <v>20</v>
      </c>
      <c r="J6" s="3">
        <v>15</v>
      </c>
      <c r="K6" s="3">
        <v>15</v>
      </c>
      <c r="L6" s="3">
        <f t="shared" si="1"/>
        <v>120</v>
      </c>
      <c r="M6" s="3">
        <f t="shared" si="1"/>
        <v>132</v>
      </c>
      <c r="N6" s="3">
        <f t="shared" si="1"/>
        <v>108</v>
      </c>
      <c r="O6" s="3">
        <f t="shared" ref="O6:O11" si="7">ROUNDUP(SUMPRODUCT(P6:R6,$D$1:$F$1),0)</f>
        <v>1134</v>
      </c>
      <c r="P6" s="15">
        <f t="shared" si="2"/>
        <v>1288</v>
      </c>
      <c r="Q6" s="15">
        <f t="shared" si="2"/>
        <v>1030</v>
      </c>
      <c r="R6" s="15">
        <f t="shared" si="2"/>
        <v>1030</v>
      </c>
      <c r="S6" s="19">
        <f t="shared" ref="S6:S11" si="8">S$1*AE6</f>
        <v>98.12</v>
      </c>
      <c r="T6" s="14">
        <f t="shared" ref="T6:T11" si="9">ROUNDUP(SUMPRODUCT(U6:W6,$D$1:$F$1),0)</f>
        <v>219</v>
      </c>
      <c r="U6" s="8">
        <f t="shared" ref="U6:W11" si="10">ROUNDUP((2*D6*P6/$S6)^(1/2),0)</f>
        <v>252</v>
      </c>
      <c r="V6" s="8">
        <f t="shared" si="10"/>
        <v>204</v>
      </c>
      <c r="W6" s="8">
        <f t="shared" si="10"/>
        <v>185</v>
      </c>
      <c r="X6" s="10">
        <f t="shared" si="3"/>
        <v>260</v>
      </c>
      <c r="Y6" s="10">
        <f t="shared" si="3"/>
        <v>210</v>
      </c>
      <c r="Z6" s="10">
        <f t="shared" si="3"/>
        <v>195</v>
      </c>
      <c r="AA6" s="9">
        <f t="shared" si="4"/>
        <v>10</v>
      </c>
      <c r="AB6" s="9">
        <f t="shared" si="4"/>
        <v>10</v>
      </c>
      <c r="AC6" s="9">
        <f t="shared" si="4"/>
        <v>9</v>
      </c>
      <c r="AD6" s="3">
        <f t="shared" ref="AD6:AD11" si="11">SUMPRODUCT(AA6:AC6,P6:R6)</f>
        <v>32450</v>
      </c>
      <c r="AE6" s="4">
        <f>Basic_Data!Q5*Supp1_wt+Basic_Data!V5*Supp2_wt+Basic_Data!AA5*Supp3_wt</f>
        <v>490.6</v>
      </c>
      <c r="AF6" s="3">
        <f t="shared" ref="AF6:AF11" si="12">SUMPRODUCT(L6:N6,I6:K6)*AE6</f>
        <v>2943600</v>
      </c>
    </row>
    <row r="7" spans="1:32" x14ac:dyDescent="0.25">
      <c r="A7" s="9">
        <f>Basic_Data!A6</f>
        <v>3</v>
      </c>
      <c r="B7" s="9" t="str">
        <f>Basic_Data!B6</f>
        <v>Transformer2</v>
      </c>
      <c r="C7" s="3">
        <f>Basic_Data!F6</f>
        <v>6000</v>
      </c>
      <c r="D7" s="3">
        <f t="shared" si="5"/>
        <v>2400</v>
      </c>
      <c r="E7" s="3">
        <f t="shared" si="0"/>
        <v>1980</v>
      </c>
      <c r="F7" s="3">
        <f t="shared" si="0"/>
        <v>1619.9999999999998</v>
      </c>
      <c r="G7" s="3">
        <f>Basic_Data!I6</f>
        <v>520</v>
      </c>
      <c r="H7" s="3">
        <f t="shared" si="6"/>
        <v>3120000</v>
      </c>
      <c r="I7" s="3">
        <v>20</v>
      </c>
      <c r="J7" s="3">
        <v>15</v>
      </c>
      <c r="K7" s="3">
        <v>15</v>
      </c>
      <c r="L7" s="3">
        <f t="shared" si="1"/>
        <v>120</v>
      </c>
      <c r="M7" s="3">
        <f t="shared" si="1"/>
        <v>132</v>
      </c>
      <c r="N7" s="3">
        <f t="shared" si="1"/>
        <v>108</v>
      </c>
      <c r="O7" s="3">
        <f t="shared" si="7"/>
        <v>1144</v>
      </c>
      <c r="P7" s="15">
        <f t="shared" si="2"/>
        <v>1300</v>
      </c>
      <c r="Q7" s="15">
        <f t="shared" si="2"/>
        <v>1040</v>
      </c>
      <c r="R7" s="15">
        <f t="shared" si="2"/>
        <v>1040</v>
      </c>
      <c r="S7" s="19">
        <f t="shared" si="8"/>
        <v>98.52000000000001</v>
      </c>
      <c r="T7" s="14">
        <f>ROUNDUP(SUMPRODUCT(U7:W7,$D$1:$F$1),0)</f>
        <v>219</v>
      </c>
      <c r="U7" s="8">
        <f t="shared" si="10"/>
        <v>252</v>
      </c>
      <c r="V7" s="8">
        <f>ROUNDUP((2*E7*Q7/$S7)^(1/2),0)</f>
        <v>205</v>
      </c>
      <c r="W7" s="8">
        <f t="shared" si="10"/>
        <v>185</v>
      </c>
      <c r="X7" s="10">
        <f t="shared" si="3"/>
        <v>260</v>
      </c>
      <c r="Y7" s="10">
        <f t="shared" si="3"/>
        <v>210</v>
      </c>
      <c r="Z7" s="10">
        <f t="shared" si="3"/>
        <v>195</v>
      </c>
      <c r="AA7" s="9">
        <f t="shared" si="4"/>
        <v>10</v>
      </c>
      <c r="AB7" s="9">
        <f t="shared" si="4"/>
        <v>10</v>
      </c>
      <c r="AC7" s="9">
        <f t="shared" si="4"/>
        <v>9</v>
      </c>
      <c r="AD7" s="3">
        <f t="shared" si="11"/>
        <v>32760</v>
      </c>
      <c r="AE7" s="4">
        <f>Basic_Data!Q6*Supp1_wt+Basic_Data!V6*Supp2_wt+Basic_Data!AA6*Supp3_wt</f>
        <v>492.6</v>
      </c>
      <c r="AF7" s="3">
        <f t="shared" si="12"/>
        <v>2955600</v>
      </c>
    </row>
    <row r="8" spans="1:32" x14ac:dyDescent="0.25">
      <c r="A8" s="9">
        <f>Basic_Data!A7</f>
        <v>4</v>
      </c>
      <c r="B8" s="9" t="str">
        <f>Basic_Data!B7</f>
        <v>Battery</v>
      </c>
      <c r="C8" s="3">
        <f>Basic_Data!F7</f>
        <v>6000</v>
      </c>
      <c r="D8" s="3">
        <f t="shared" si="5"/>
        <v>2400</v>
      </c>
      <c r="E8" s="3">
        <f t="shared" si="0"/>
        <v>1980</v>
      </c>
      <c r="F8" s="3">
        <f t="shared" si="0"/>
        <v>1619.9999999999998</v>
      </c>
      <c r="G8" s="3">
        <f>Basic_Data!I7</f>
        <v>1200</v>
      </c>
      <c r="H8" s="3">
        <f t="shared" si="6"/>
        <v>7200000</v>
      </c>
      <c r="I8" s="3">
        <v>5</v>
      </c>
      <c r="J8" s="3">
        <v>5</v>
      </c>
      <c r="K8" s="3">
        <v>5</v>
      </c>
      <c r="L8" s="3">
        <f t="shared" si="1"/>
        <v>480</v>
      </c>
      <c r="M8" s="3">
        <f t="shared" si="1"/>
        <v>396</v>
      </c>
      <c r="N8" s="3">
        <f t="shared" si="1"/>
        <v>324</v>
      </c>
      <c r="O8" s="3">
        <f t="shared" si="7"/>
        <v>792</v>
      </c>
      <c r="P8" s="15">
        <f t="shared" si="2"/>
        <v>900</v>
      </c>
      <c r="Q8" s="15">
        <f t="shared" si="2"/>
        <v>720</v>
      </c>
      <c r="R8" s="15">
        <f t="shared" si="2"/>
        <v>720</v>
      </c>
      <c r="S8" s="19">
        <f t="shared" si="8"/>
        <v>183.9</v>
      </c>
      <c r="T8" s="14">
        <f t="shared" si="9"/>
        <v>134</v>
      </c>
      <c r="U8" s="8">
        <f t="shared" si="10"/>
        <v>154</v>
      </c>
      <c r="V8" s="8">
        <f t="shared" si="10"/>
        <v>125</v>
      </c>
      <c r="W8" s="8">
        <f t="shared" si="10"/>
        <v>113</v>
      </c>
      <c r="X8" s="10">
        <f t="shared" si="3"/>
        <v>155</v>
      </c>
      <c r="Y8" s="10">
        <f t="shared" si="3"/>
        <v>125</v>
      </c>
      <c r="Z8" s="10">
        <f t="shared" si="3"/>
        <v>115</v>
      </c>
      <c r="AA8" s="9">
        <f t="shared" si="4"/>
        <v>16</v>
      </c>
      <c r="AB8" s="9">
        <f t="shared" si="4"/>
        <v>16</v>
      </c>
      <c r="AC8" s="9">
        <f t="shared" si="4"/>
        <v>15</v>
      </c>
      <c r="AD8" s="3">
        <f t="shared" si="11"/>
        <v>36720</v>
      </c>
      <c r="AE8" s="4">
        <f>Basic_Data!Q7*Supp1_wt+Basic_Data!V7*Supp2_wt+Basic_Data!AA7*Supp3_wt</f>
        <v>919.5</v>
      </c>
      <c r="AF8" s="3">
        <f t="shared" si="12"/>
        <v>5517000</v>
      </c>
    </row>
    <row r="9" spans="1:32" x14ac:dyDescent="0.25">
      <c r="A9" s="9">
        <f>Basic_Data!A8</f>
        <v>5</v>
      </c>
      <c r="B9" s="9" t="str">
        <f>Basic_Data!B8</f>
        <v>H Bridge</v>
      </c>
      <c r="C9" s="3">
        <f>Basic_Data!F8</f>
        <v>6000</v>
      </c>
      <c r="D9" s="3">
        <f t="shared" si="5"/>
        <v>2400</v>
      </c>
      <c r="E9" s="3">
        <f t="shared" si="0"/>
        <v>1980</v>
      </c>
      <c r="F9" s="3">
        <f t="shared" si="0"/>
        <v>1619.9999999999998</v>
      </c>
      <c r="G9" s="3">
        <f>Basic_Data!I8</f>
        <v>1500</v>
      </c>
      <c r="H9" s="3">
        <f t="shared" si="6"/>
        <v>9000000</v>
      </c>
      <c r="I9" s="3">
        <v>50</v>
      </c>
      <c r="J9" s="3">
        <v>35</v>
      </c>
      <c r="K9" s="3">
        <v>35</v>
      </c>
      <c r="L9" s="3">
        <f t="shared" si="1"/>
        <v>48</v>
      </c>
      <c r="M9" s="3">
        <f t="shared" si="1"/>
        <v>57</v>
      </c>
      <c r="N9" s="3">
        <f t="shared" si="1"/>
        <v>47</v>
      </c>
      <c r="O9" s="3">
        <f t="shared" si="7"/>
        <v>7817</v>
      </c>
      <c r="P9" s="15">
        <f t="shared" si="2"/>
        <v>8882</v>
      </c>
      <c r="Q9" s="15">
        <f t="shared" si="2"/>
        <v>7106</v>
      </c>
      <c r="R9" s="15">
        <f t="shared" si="2"/>
        <v>7106</v>
      </c>
      <c r="S9" s="19">
        <f t="shared" si="8"/>
        <v>290.60000000000002</v>
      </c>
      <c r="T9" s="14">
        <f t="shared" si="9"/>
        <v>333</v>
      </c>
      <c r="U9" s="8">
        <f t="shared" si="10"/>
        <v>384</v>
      </c>
      <c r="V9" s="8">
        <f t="shared" si="10"/>
        <v>312</v>
      </c>
      <c r="W9" s="8">
        <f t="shared" si="10"/>
        <v>282</v>
      </c>
      <c r="X9" s="10">
        <f t="shared" si="3"/>
        <v>400</v>
      </c>
      <c r="Y9" s="10">
        <f t="shared" si="3"/>
        <v>315</v>
      </c>
      <c r="Z9" s="10">
        <f t="shared" si="3"/>
        <v>315</v>
      </c>
      <c r="AA9" s="9">
        <f t="shared" si="4"/>
        <v>6</v>
      </c>
      <c r="AB9" s="9">
        <f t="shared" si="4"/>
        <v>7</v>
      </c>
      <c r="AC9" s="9">
        <f t="shared" si="4"/>
        <v>6</v>
      </c>
      <c r="AD9" s="3">
        <f t="shared" si="11"/>
        <v>145670</v>
      </c>
      <c r="AE9" s="4">
        <f>Basic_Data!Q8*Supp1_wt+Basic_Data!V8*Supp2_wt+Basic_Data!AA8*Supp3_wt</f>
        <v>1453</v>
      </c>
      <c r="AF9" s="3">
        <f t="shared" si="12"/>
        <v>8776120</v>
      </c>
    </row>
    <row r="10" spans="1:32" x14ac:dyDescent="0.25">
      <c r="A10" s="9">
        <f>Basic_Data!A9</f>
        <v>6</v>
      </c>
      <c r="B10" s="9" t="str">
        <f>Basic_Data!B9</f>
        <v>Rectifier</v>
      </c>
      <c r="C10" s="3">
        <f>Basic_Data!F9</f>
        <v>6000</v>
      </c>
      <c r="D10" s="3">
        <f t="shared" si="5"/>
        <v>2400</v>
      </c>
      <c r="E10" s="3">
        <f t="shared" si="0"/>
        <v>1980</v>
      </c>
      <c r="F10" s="3">
        <f t="shared" si="0"/>
        <v>1619.9999999999998</v>
      </c>
      <c r="G10" s="3">
        <f>Basic_Data!I9</f>
        <v>1100</v>
      </c>
      <c r="H10" s="3">
        <f t="shared" si="6"/>
        <v>6600000</v>
      </c>
      <c r="I10" s="3">
        <v>100</v>
      </c>
      <c r="J10" s="3">
        <v>80</v>
      </c>
      <c r="K10" s="3">
        <v>80</v>
      </c>
      <c r="L10" s="3">
        <f t="shared" si="1"/>
        <v>24</v>
      </c>
      <c r="M10" s="3">
        <f t="shared" si="1"/>
        <v>25</v>
      </c>
      <c r="N10" s="3">
        <f t="shared" si="1"/>
        <v>21</v>
      </c>
      <c r="O10" s="3">
        <f t="shared" si="7"/>
        <v>12447</v>
      </c>
      <c r="P10" s="15">
        <f t="shared" si="2"/>
        <v>14143</v>
      </c>
      <c r="Q10" s="15">
        <f t="shared" si="2"/>
        <v>11315</v>
      </c>
      <c r="R10" s="15">
        <f t="shared" si="2"/>
        <v>11315</v>
      </c>
      <c r="S10" s="19">
        <f t="shared" si="8"/>
        <v>217.20000000000002</v>
      </c>
      <c r="T10" s="14">
        <f t="shared" si="9"/>
        <v>486</v>
      </c>
      <c r="U10" s="8">
        <f t="shared" si="10"/>
        <v>560</v>
      </c>
      <c r="V10" s="8">
        <f t="shared" si="10"/>
        <v>455</v>
      </c>
      <c r="W10" s="8">
        <f t="shared" si="10"/>
        <v>411</v>
      </c>
      <c r="X10" s="10">
        <f t="shared" si="3"/>
        <v>600</v>
      </c>
      <c r="Y10" s="10">
        <f t="shared" si="3"/>
        <v>480</v>
      </c>
      <c r="Z10" s="10">
        <f t="shared" si="3"/>
        <v>480</v>
      </c>
      <c r="AA10" s="9">
        <f t="shared" si="4"/>
        <v>4</v>
      </c>
      <c r="AB10" s="9">
        <f t="shared" si="4"/>
        <v>5</v>
      </c>
      <c r="AC10" s="9">
        <f t="shared" si="4"/>
        <v>4</v>
      </c>
      <c r="AD10" s="3">
        <f t="shared" si="11"/>
        <v>158407</v>
      </c>
      <c r="AE10" s="4">
        <f>Basic_Data!Q9*Supp1_wt+Basic_Data!V9*Supp2_wt+Basic_Data!AA9*Supp3_wt</f>
        <v>1086</v>
      </c>
      <c r="AF10" s="3">
        <f t="shared" si="12"/>
        <v>6602880</v>
      </c>
    </row>
    <row r="11" spans="1:32" x14ac:dyDescent="0.25">
      <c r="A11" s="9">
        <f>Basic_Data!A10</f>
        <v>7</v>
      </c>
      <c r="B11" s="9" t="str">
        <f>Basic_Data!B10</f>
        <v>Filters</v>
      </c>
      <c r="C11" s="3">
        <f>Basic_Data!F10</f>
        <v>12000</v>
      </c>
      <c r="D11" s="3">
        <f t="shared" si="5"/>
        <v>4800</v>
      </c>
      <c r="E11" s="3">
        <f t="shared" si="0"/>
        <v>3960</v>
      </c>
      <c r="F11" s="3">
        <f t="shared" si="0"/>
        <v>3239.9999999999995</v>
      </c>
      <c r="G11" s="3">
        <f>Basic_Data!I10</f>
        <v>150</v>
      </c>
      <c r="H11" s="3">
        <f t="shared" si="6"/>
        <v>1800000</v>
      </c>
      <c r="I11" s="3">
        <v>100</v>
      </c>
      <c r="J11" s="3">
        <v>100</v>
      </c>
      <c r="K11" s="3">
        <v>100</v>
      </c>
      <c r="L11" s="3">
        <f t="shared" si="1"/>
        <v>48</v>
      </c>
      <c r="M11" s="3">
        <f t="shared" si="1"/>
        <v>40</v>
      </c>
      <c r="N11" s="3">
        <f t="shared" si="1"/>
        <v>33</v>
      </c>
      <c r="O11" s="3">
        <f t="shared" si="7"/>
        <v>1965</v>
      </c>
      <c r="P11" s="15">
        <f t="shared" si="2"/>
        <v>2232</v>
      </c>
      <c r="Q11" s="15">
        <f t="shared" si="2"/>
        <v>1786</v>
      </c>
      <c r="R11" s="15">
        <f t="shared" si="2"/>
        <v>1786</v>
      </c>
      <c r="S11" s="19">
        <f t="shared" si="8"/>
        <v>20.975000000000001</v>
      </c>
      <c r="T11" s="14">
        <f t="shared" si="9"/>
        <v>877</v>
      </c>
      <c r="U11" s="8">
        <f t="shared" si="10"/>
        <v>1011</v>
      </c>
      <c r="V11" s="8">
        <f t="shared" si="10"/>
        <v>822</v>
      </c>
      <c r="W11" s="8">
        <f t="shared" si="10"/>
        <v>743</v>
      </c>
      <c r="X11" s="10">
        <f t="shared" si="3"/>
        <v>1100</v>
      </c>
      <c r="Y11" s="10">
        <f t="shared" si="3"/>
        <v>900</v>
      </c>
      <c r="Z11" s="10">
        <f t="shared" si="3"/>
        <v>800</v>
      </c>
      <c r="AA11" s="9">
        <f t="shared" si="4"/>
        <v>5</v>
      </c>
      <c r="AB11" s="9">
        <f t="shared" si="4"/>
        <v>5</v>
      </c>
      <c r="AC11" s="9">
        <f t="shared" si="4"/>
        <v>5</v>
      </c>
      <c r="AD11" s="3">
        <f t="shared" si="11"/>
        <v>29020</v>
      </c>
      <c r="AE11" s="4">
        <f>Basic_Data!Q10*Supp1_wt+Basic_Data!V10*Supp2_wt+Basic_Data!AA10*Supp3_wt</f>
        <v>104.875</v>
      </c>
      <c r="AF11" s="3">
        <f t="shared" si="12"/>
        <v>1268987.5</v>
      </c>
    </row>
    <row r="12" spans="1:32" x14ac:dyDescent="0.25">
      <c r="I12" s="3"/>
      <c r="J12" s="3"/>
      <c r="K12" s="3"/>
      <c r="L12" s="3"/>
      <c r="M12" s="3"/>
      <c r="N12" s="3"/>
      <c r="S12" s="8"/>
      <c r="AF12" s="3"/>
    </row>
    <row r="13" spans="1:32" x14ac:dyDescent="0.25">
      <c r="B13" t="s">
        <v>62</v>
      </c>
      <c r="H13" s="3">
        <f>SUM(H5:H12)</f>
        <v>32580000</v>
      </c>
      <c r="I13" s="3"/>
      <c r="J13" s="3"/>
      <c r="K13" s="3"/>
      <c r="L13" s="3"/>
      <c r="M13" s="3"/>
      <c r="N13" s="3"/>
      <c r="R13" s="3">
        <f>SUMPRODUCT(P5:R11,L5:N11)</f>
        <v>4246138</v>
      </c>
      <c r="S13" s="3">
        <f>SUMPRODUCT(S5:S11,C5:C11)/2</f>
        <v>2956410</v>
      </c>
      <c r="AD13" s="3">
        <f>SUM(AD5:AD12)</f>
        <v>473355</v>
      </c>
      <c r="AF13" s="3">
        <f>SUM(AF5:AF12)</f>
        <v>29733382.5</v>
      </c>
    </row>
    <row r="14" spans="1:32" x14ac:dyDescent="0.25">
      <c r="I14" s="3"/>
      <c r="J14" s="3"/>
      <c r="K14" s="3"/>
      <c r="L14" s="3"/>
      <c r="M14" s="3"/>
      <c r="N14" s="3"/>
      <c r="S14" s="8"/>
    </row>
    <row r="15" spans="1:32" x14ac:dyDescent="0.25">
      <c r="B15" t="s">
        <v>83</v>
      </c>
      <c r="I15" s="3"/>
      <c r="J15" s="3"/>
      <c r="K15" s="3"/>
      <c r="L15" s="3"/>
      <c r="M15" s="3"/>
      <c r="N15" s="3"/>
      <c r="R15" s="7" t="s">
        <v>94</v>
      </c>
      <c r="S15" s="3">
        <f>AD5</f>
        <v>38328</v>
      </c>
      <c r="AA15" s="9">
        <f>ROUNDUP(D5/U5,0)</f>
        <v>7</v>
      </c>
      <c r="AB15" s="16">
        <f t="shared" ref="AB15:AC15" si="13">ROUNDUP(E5/V5,0)</f>
        <v>5</v>
      </c>
      <c r="AC15" s="16">
        <f t="shared" si="13"/>
        <v>5</v>
      </c>
      <c r="AF15" s="3">
        <f t="shared" ref="AF15:AF21" si="14">SUMPRODUCT(AA15:AC15,U5:W5)*AE5</f>
        <v>1756103.4999999998</v>
      </c>
    </row>
    <row r="16" spans="1:32" x14ac:dyDescent="0.25">
      <c r="I16" s="3"/>
      <c r="J16" s="3"/>
      <c r="K16" s="3"/>
      <c r="L16" s="3"/>
      <c r="M16" s="3"/>
      <c r="N16" s="3"/>
      <c r="R16" s="7" t="s">
        <v>93</v>
      </c>
      <c r="S16" s="3">
        <f>SUMPRODUCT(X5:Z5,AA5:AC5)*S5/2</f>
        <v>183473.5</v>
      </c>
      <c r="AA16" s="16">
        <f t="shared" ref="AA16:AA21" si="15">ROUNDUP(D6/U6,0)</f>
        <v>10</v>
      </c>
      <c r="AB16" s="16">
        <f t="shared" ref="AB16:AB21" si="16">ROUNDUP(E6/V6,0)</f>
        <v>10</v>
      </c>
      <c r="AC16" s="16">
        <f t="shared" ref="AC16:AC21" si="17">ROUNDUP(F6/W6,0)</f>
        <v>9</v>
      </c>
      <c r="AF16" s="3">
        <f t="shared" si="14"/>
        <v>3053985</v>
      </c>
    </row>
    <row r="17" spans="1:32" x14ac:dyDescent="0.25">
      <c r="A17" t="s">
        <v>87</v>
      </c>
      <c r="B17" t="s">
        <v>84</v>
      </c>
      <c r="C17" s="3">
        <f>AF13</f>
        <v>29733382.5</v>
      </c>
      <c r="R17" s="7" t="s">
        <v>108</v>
      </c>
      <c r="S17" s="3">
        <f>SUM(S15:S16)</f>
        <v>221801.5</v>
      </c>
      <c r="AA17" s="16">
        <f t="shared" si="15"/>
        <v>10</v>
      </c>
      <c r="AB17" s="16">
        <f t="shared" si="16"/>
        <v>10</v>
      </c>
      <c r="AC17" s="16">
        <f t="shared" si="17"/>
        <v>9</v>
      </c>
      <c r="AF17" s="3">
        <f t="shared" si="14"/>
        <v>3071361</v>
      </c>
    </row>
    <row r="18" spans="1:32" x14ac:dyDescent="0.25">
      <c r="B18" t="s">
        <v>85</v>
      </c>
      <c r="C18" s="3">
        <f>R13</f>
        <v>4246138</v>
      </c>
      <c r="I18" s="3"/>
      <c r="J18" s="3"/>
      <c r="K18" s="3"/>
      <c r="L18" s="3"/>
      <c r="M18" s="3"/>
      <c r="N18" s="3"/>
      <c r="AA18" s="16">
        <f t="shared" si="15"/>
        <v>16</v>
      </c>
      <c r="AB18" s="16">
        <f t="shared" si="16"/>
        <v>16</v>
      </c>
      <c r="AC18" s="16">
        <f t="shared" si="17"/>
        <v>15</v>
      </c>
      <c r="AF18" s="3">
        <f t="shared" si="14"/>
        <v>5663200.5</v>
      </c>
    </row>
    <row r="19" spans="1:32" x14ac:dyDescent="0.25">
      <c r="B19" t="s">
        <v>86</v>
      </c>
      <c r="C19" s="3">
        <f>S13</f>
        <v>2956410</v>
      </c>
      <c r="AA19" s="16">
        <f t="shared" si="15"/>
        <v>7</v>
      </c>
      <c r="AB19" s="16">
        <f t="shared" si="16"/>
        <v>7</v>
      </c>
      <c r="AC19" s="16">
        <f t="shared" si="17"/>
        <v>6</v>
      </c>
      <c r="AF19" s="3">
        <f t="shared" si="14"/>
        <v>9537492</v>
      </c>
    </row>
    <row r="20" spans="1:32" x14ac:dyDescent="0.25">
      <c r="C20" s="3"/>
      <c r="AA20" s="16">
        <f t="shared" si="15"/>
        <v>5</v>
      </c>
      <c r="AB20" s="16">
        <f t="shared" si="16"/>
        <v>5</v>
      </c>
      <c r="AC20" s="16">
        <f t="shared" si="17"/>
        <v>4</v>
      </c>
      <c r="AF20" s="3">
        <f t="shared" si="14"/>
        <v>7296834</v>
      </c>
    </row>
    <row r="21" spans="1:32" x14ac:dyDescent="0.25">
      <c r="B21" t="s">
        <v>62</v>
      </c>
      <c r="C21" s="3">
        <f>SUM(C17:C20)</f>
        <v>36935930.5</v>
      </c>
      <c r="AA21" s="16">
        <f t="shared" si="15"/>
        <v>5</v>
      </c>
      <c r="AB21" s="16">
        <f t="shared" si="16"/>
        <v>5</v>
      </c>
      <c r="AC21" s="16">
        <f t="shared" si="17"/>
        <v>5</v>
      </c>
      <c r="AF21" s="3">
        <f t="shared" si="14"/>
        <v>1350790</v>
      </c>
    </row>
    <row r="22" spans="1:32" x14ac:dyDescent="0.25">
      <c r="AA22" s="16"/>
      <c r="AB22" s="16"/>
      <c r="AC22" s="16"/>
    </row>
    <row r="23" spans="1:32" x14ac:dyDescent="0.25">
      <c r="A23" t="s">
        <v>88</v>
      </c>
      <c r="B23" s="9" t="s">
        <v>84</v>
      </c>
      <c r="C23" s="3" cm="1">
        <f t="array" ref="C23">SUM(X5:Z11*AA5:AC11*AE5:AE11)</f>
        <v>32090193.5</v>
      </c>
      <c r="D23" s="7">
        <f>C23/C17-1</f>
        <v>7.9264812874888957E-2</v>
      </c>
      <c r="AC23" s="3" cm="1">
        <f t="array" ref="AC23">SUM(AA15:AC21*U5:W11*AE5:AE11)</f>
        <v>31729766</v>
      </c>
      <c r="AF23" s="3">
        <f>SUM(AF15:AF22)</f>
        <v>31729766</v>
      </c>
    </row>
    <row r="24" spans="1:32" x14ac:dyDescent="0.25">
      <c r="B24" s="9" t="s">
        <v>85</v>
      </c>
      <c r="C24" s="3">
        <f>AD13</f>
        <v>473355</v>
      </c>
      <c r="D24" s="7">
        <f>C24/C18-1</f>
        <v>-0.88852105136479309</v>
      </c>
    </row>
    <row r="25" spans="1:32" x14ac:dyDescent="0.25">
      <c r="B25" s="9" t="s">
        <v>86</v>
      </c>
      <c r="C25" s="3">
        <f>S13</f>
        <v>2956410</v>
      </c>
    </row>
    <row r="27" spans="1:32" x14ac:dyDescent="0.25">
      <c r="B27" s="9" t="s">
        <v>62</v>
      </c>
      <c r="C27" s="3">
        <f>SUM(C23:C26)</f>
        <v>35519958.5</v>
      </c>
      <c r="D27" s="16">
        <f>C27/C21-1</f>
        <v>-3.833589626231293E-2</v>
      </c>
    </row>
  </sheetData>
  <mergeCells count="13">
    <mergeCell ref="AE2:AF2"/>
    <mergeCell ref="X2:Z2"/>
    <mergeCell ref="AD2:AD3"/>
    <mergeCell ref="AA2:AC2"/>
    <mergeCell ref="T2:W2"/>
    <mergeCell ref="A2:A3"/>
    <mergeCell ref="B2:B3"/>
    <mergeCell ref="S2:S3"/>
    <mergeCell ref="G2:H2"/>
    <mergeCell ref="C2:F2"/>
    <mergeCell ref="O2:R2"/>
    <mergeCell ref="I2:K2"/>
    <mergeCell ref="L2:N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opLeftCell="A7" zoomScale="90" zoomScaleNormal="90" workbookViewId="0">
      <selection activeCell="N103" sqref="N103"/>
    </sheetView>
  </sheetViews>
  <sheetFormatPr defaultRowHeight="15" x14ac:dyDescent="0.25"/>
  <cols>
    <col min="1" max="1" width="9.140625" style="115"/>
    <col min="2" max="2" width="28" style="115" bestFit="1" customWidth="1"/>
    <col min="3" max="3" width="20.42578125" style="115" hidden="1" customWidth="1"/>
    <col min="4" max="4" width="5.7109375" style="115" bestFit="1" customWidth="1"/>
    <col min="5" max="5" width="4.140625" style="115" bestFit="1" customWidth="1"/>
    <col min="6" max="6" width="6.7109375" style="115" bestFit="1" customWidth="1"/>
    <col min="7" max="7" width="6.42578125" style="115" bestFit="1" customWidth="1"/>
    <col min="8" max="8" width="5.85546875" style="115" bestFit="1" customWidth="1"/>
    <col min="9" max="9" width="6" style="115" bestFit="1" customWidth="1"/>
    <col min="10" max="10" width="25" style="115" hidden="1" customWidth="1"/>
    <col min="11" max="12" width="28.7109375" style="115" hidden="1" customWidth="1"/>
    <col min="13" max="31" width="5.7109375" style="115" customWidth="1"/>
    <col min="32" max="16384" width="9.140625" style="115"/>
  </cols>
  <sheetData>
    <row r="1" spans="1:31" x14ac:dyDescent="0.25">
      <c r="A1" s="147" t="s">
        <v>0</v>
      </c>
      <c r="B1" s="148" t="s">
        <v>10</v>
      </c>
      <c r="C1" s="148" t="s">
        <v>1</v>
      </c>
      <c r="D1" s="157" t="s">
        <v>20</v>
      </c>
      <c r="E1" s="157" t="s">
        <v>114</v>
      </c>
      <c r="F1" s="157" t="s">
        <v>146</v>
      </c>
      <c r="G1" s="157" t="s">
        <v>145</v>
      </c>
      <c r="H1" s="157" t="s">
        <v>29</v>
      </c>
      <c r="I1" s="157" t="s">
        <v>113</v>
      </c>
      <c r="J1" s="148" t="s">
        <v>33</v>
      </c>
      <c r="K1" s="148" t="s">
        <v>36</v>
      </c>
      <c r="L1" s="148" t="s">
        <v>37</v>
      </c>
      <c r="M1" s="149" t="s">
        <v>6</v>
      </c>
      <c r="N1" s="149"/>
      <c r="O1" s="149"/>
      <c r="P1" s="149"/>
      <c r="Q1" s="149"/>
      <c r="R1" s="149" t="s">
        <v>7</v>
      </c>
      <c r="S1" s="149"/>
      <c r="T1" s="149"/>
      <c r="U1" s="149"/>
      <c r="V1" s="149"/>
      <c r="W1" s="149" t="s">
        <v>8</v>
      </c>
      <c r="X1" s="149"/>
      <c r="Y1" s="149"/>
      <c r="Z1" s="149"/>
      <c r="AA1" s="149"/>
      <c r="AB1" s="149" t="s">
        <v>55</v>
      </c>
      <c r="AC1" s="149"/>
      <c r="AD1" s="149"/>
      <c r="AE1" s="150"/>
    </row>
    <row r="2" spans="1:31" ht="117.75" thickBot="1" x14ac:dyDescent="0.3">
      <c r="A2" s="151"/>
      <c r="B2" s="152"/>
      <c r="C2" s="152"/>
      <c r="D2" s="158"/>
      <c r="E2" s="158"/>
      <c r="F2" s="158"/>
      <c r="G2" s="158"/>
      <c r="H2" s="158"/>
      <c r="I2" s="158"/>
      <c r="J2" s="152"/>
      <c r="K2" s="152"/>
      <c r="L2" s="152"/>
      <c r="M2" s="155" t="s">
        <v>54</v>
      </c>
      <c r="N2" s="155" t="s">
        <v>53</v>
      </c>
      <c r="O2" s="155" t="s">
        <v>3</v>
      </c>
      <c r="P2" s="155" t="s">
        <v>4</v>
      </c>
      <c r="Q2" s="155" t="s">
        <v>5</v>
      </c>
      <c r="R2" s="155" t="s">
        <v>54</v>
      </c>
      <c r="S2" s="155" t="s">
        <v>53</v>
      </c>
      <c r="T2" s="155" t="s">
        <v>3</v>
      </c>
      <c r="U2" s="155" t="s">
        <v>4</v>
      </c>
      <c r="V2" s="155" t="s">
        <v>5</v>
      </c>
      <c r="W2" s="155" t="s">
        <v>54</v>
      </c>
      <c r="X2" s="155" t="s">
        <v>53</v>
      </c>
      <c r="Y2" s="155" t="s">
        <v>3</v>
      </c>
      <c r="Z2" s="155" t="s">
        <v>4</v>
      </c>
      <c r="AA2" s="155" t="s">
        <v>5</v>
      </c>
      <c r="AB2" s="155" t="s">
        <v>2</v>
      </c>
      <c r="AC2" s="155" t="s">
        <v>3</v>
      </c>
      <c r="AD2" s="155" t="s">
        <v>4</v>
      </c>
      <c r="AE2" s="156" t="s">
        <v>5</v>
      </c>
    </row>
    <row r="3" spans="1:3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4"/>
    </row>
    <row r="4" spans="1:31" x14ac:dyDescent="0.25">
      <c r="A4" s="165">
        <v>1</v>
      </c>
      <c r="B4" s="112" t="s">
        <v>115</v>
      </c>
      <c r="C4" s="112"/>
      <c r="D4" s="112" t="s">
        <v>23</v>
      </c>
      <c r="E4" s="112">
        <v>1</v>
      </c>
      <c r="F4" s="112">
        <f>Est_Std_Vol*E4*12</f>
        <v>6000</v>
      </c>
      <c r="G4" s="112">
        <f t="shared" ref="G4:G11" si="0">Est_Prem_Vol*E4*12</f>
        <v>1200</v>
      </c>
      <c r="H4" s="112" t="s">
        <v>32</v>
      </c>
      <c r="I4" s="23">
        <v>295</v>
      </c>
      <c r="J4" s="23">
        <v>375</v>
      </c>
      <c r="K4" s="23">
        <f t="shared" ref="K4:L9" si="1">I4*F4</f>
        <v>1770000</v>
      </c>
      <c r="L4" s="23">
        <f t="shared" si="1"/>
        <v>450000</v>
      </c>
      <c r="M4" s="112">
        <v>4</v>
      </c>
      <c r="N4" s="23">
        <v>6</v>
      </c>
      <c r="O4" s="23">
        <v>25</v>
      </c>
      <c r="P4" s="112"/>
      <c r="Q4" s="112">
        <v>275</v>
      </c>
      <c r="R4" s="112">
        <v>6</v>
      </c>
      <c r="S4" s="23">
        <v>8</v>
      </c>
      <c r="T4" s="23">
        <v>30</v>
      </c>
      <c r="U4" s="112"/>
      <c r="V4" s="112">
        <v>290</v>
      </c>
      <c r="W4" s="112">
        <v>3</v>
      </c>
      <c r="X4" s="23">
        <v>5</v>
      </c>
      <c r="Y4" s="23">
        <v>20</v>
      </c>
      <c r="Z4" s="112"/>
      <c r="AA4" s="112">
        <v>260</v>
      </c>
      <c r="AB4" s="112"/>
      <c r="AC4" s="112"/>
      <c r="AD4" s="112"/>
      <c r="AE4" s="41"/>
    </row>
    <row r="5" spans="1:31" x14ac:dyDescent="0.25">
      <c r="A5" s="165">
        <v>2</v>
      </c>
      <c r="B5" s="112" t="s">
        <v>9</v>
      </c>
      <c r="C5" s="112" t="s">
        <v>12</v>
      </c>
      <c r="D5" s="112" t="s">
        <v>23</v>
      </c>
      <c r="E5" s="112">
        <v>1</v>
      </c>
      <c r="F5" s="112">
        <f t="shared" ref="F5:F12" si="2">Est_Std_Vol*E5*12</f>
        <v>6000</v>
      </c>
      <c r="G5" s="112">
        <f t="shared" si="0"/>
        <v>1200</v>
      </c>
      <c r="H5" s="112" t="s">
        <v>32</v>
      </c>
      <c r="I5" s="23">
        <v>515</v>
      </c>
      <c r="J5" s="23">
        <v>515</v>
      </c>
      <c r="K5" s="23">
        <f t="shared" si="1"/>
        <v>3090000</v>
      </c>
      <c r="L5" s="23">
        <f t="shared" si="1"/>
        <v>618000</v>
      </c>
      <c r="M5" s="112">
        <v>10</v>
      </c>
      <c r="N5" s="23">
        <v>12</v>
      </c>
      <c r="O5" s="23">
        <v>100</v>
      </c>
      <c r="P5" s="112"/>
      <c r="Q5" s="112">
        <v>490</v>
      </c>
      <c r="R5" s="112">
        <v>12</v>
      </c>
      <c r="S5" s="23">
        <v>14</v>
      </c>
      <c r="T5" s="23">
        <v>120</v>
      </c>
      <c r="U5" s="112"/>
      <c r="V5" s="112">
        <v>500</v>
      </c>
      <c r="W5" s="112">
        <v>9</v>
      </c>
      <c r="X5" s="23">
        <v>11</v>
      </c>
      <c r="Y5" s="23">
        <v>90</v>
      </c>
      <c r="Z5" s="112"/>
      <c r="AA5" s="112">
        <v>480</v>
      </c>
      <c r="AB5" s="112"/>
      <c r="AC5" s="112"/>
      <c r="AD5" s="112"/>
      <c r="AE5" s="41"/>
    </row>
    <row r="6" spans="1:31" x14ac:dyDescent="0.25">
      <c r="A6" s="165">
        <v>3</v>
      </c>
      <c r="B6" s="112" t="s">
        <v>11</v>
      </c>
      <c r="C6" s="112" t="s">
        <v>13</v>
      </c>
      <c r="D6" s="112" t="s">
        <v>23</v>
      </c>
      <c r="E6" s="112">
        <v>1</v>
      </c>
      <c r="F6" s="112">
        <f t="shared" si="2"/>
        <v>6000</v>
      </c>
      <c r="G6" s="112">
        <f t="shared" si="0"/>
        <v>1200</v>
      </c>
      <c r="H6" s="112" t="s">
        <v>32</v>
      </c>
      <c r="I6" s="23">
        <v>520</v>
      </c>
      <c r="J6" s="23">
        <v>520</v>
      </c>
      <c r="K6" s="23">
        <f t="shared" si="1"/>
        <v>3120000</v>
      </c>
      <c r="L6" s="23">
        <f t="shared" si="1"/>
        <v>624000</v>
      </c>
      <c r="M6" s="112">
        <v>10</v>
      </c>
      <c r="N6" s="23">
        <v>12</v>
      </c>
      <c r="O6" s="23">
        <v>100</v>
      </c>
      <c r="P6" s="112"/>
      <c r="Q6" s="112">
        <v>495</v>
      </c>
      <c r="R6" s="112">
        <v>12</v>
      </c>
      <c r="S6" s="23">
        <v>14</v>
      </c>
      <c r="T6" s="23">
        <v>120</v>
      </c>
      <c r="U6" s="112"/>
      <c r="V6" s="112">
        <v>500</v>
      </c>
      <c r="W6" s="112">
        <v>9</v>
      </c>
      <c r="X6" s="23">
        <v>11</v>
      </c>
      <c r="Y6" s="23">
        <v>90</v>
      </c>
      <c r="Z6" s="112"/>
      <c r="AA6" s="112">
        <v>480</v>
      </c>
      <c r="AB6" s="112"/>
      <c r="AC6" s="112"/>
      <c r="AD6" s="112"/>
      <c r="AE6" s="41"/>
    </row>
    <row r="7" spans="1:31" x14ac:dyDescent="0.25">
      <c r="A7" s="165">
        <v>4</v>
      </c>
      <c r="B7" s="112" t="s">
        <v>14</v>
      </c>
      <c r="C7" s="112"/>
      <c r="D7" s="112" t="s">
        <v>23</v>
      </c>
      <c r="E7" s="112">
        <v>1</v>
      </c>
      <c r="F7" s="112">
        <f t="shared" si="2"/>
        <v>6000</v>
      </c>
      <c r="G7" s="112">
        <f t="shared" si="0"/>
        <v>1200</v>
      </c>
      <c r="H7" s="112" t="s">
        <v>32</v>
      </c>
      <c r="I7" s="23">
        <v>1200</v>
      </c>
      <c r="J7" s="23">
        <v>1200</v>
      </c>
      <c r="K7" s="23">
        <f t="shared" si="1"/>
        <v>7200000</v>
      </c>
      <c r="L7" s="23">
        <f t="shared" si="1"/>
        <v>1440000</v>
      </c>
      <c r="M7" s="112">
        <v>12</v>
      </c>
      <c r="N7" s="23">
        <v>15</v>
      </c>
      <c r="O7" s="23">
        <v>20</v>
      </c>
      <c r="P7" s="112"/>
      <c r="Q7" s="112">
        <v>900</v>
      </c>
      <c r="R7" s="112">
        <v>14</v>
      </c>
      <c r="S7" s="23">
        <v>17</v>
      </c>
      <c r="T7" s="23">
        <v>40</v>
      </c>
      <c r="U7" s="112"/>
      <c r="V7" s="112">
        <v>1000</v>
      </c>
      <c r="W7" s="112">
        <v>11</v>
      </c>
      <c r="X7" s="23">
        <v>14</v>
      </c>
      <c r="Y7" s="23">
        <v>15</v>
      </c>
      <c r="Z7" s="112"/>
      <c r="AA7" s="112">
        <v>850</v>
      </c>
      <c r="AB7" s="112"/>
      <c r="AC7" s="112"/>
      <c r="AD7" s="112"/>
      <c r="AE7" s="41"/>
    </row>
    <row r="8" spans="1:31" x14ac:dyDescent="0.25">
      <c r="A8" s="165">
        <v>5</v>
      </c>
      <c r="B8" s="112" t="s">
        <v>15</v>
      </c>
      <c r="C8" s="112"/>
      <c r="D8" s="112" t="s">
        <v>23</v>
      </c>
      <c r="E8" s="112">
        <v>1</v>
      </c>
      <c r="F8" s="112">
        <f t="shared" si="2"/>
        <v>6000</v>
      </c>
      <c r="G8" s="112">
        <f t="shared" si="0"/>
        <v>1200</v>
      </c>
      <c r="H8" s="112" t="s">
        <v>32</v>
      </c>
      <c r="I8" s="23">
        <v>1500</v>
      </c>
      <c r="J8" s="23">
        <v>1500</v>
      </c>
      <c r="K8" s="23">
        <f t="shared" si="1"/>
        <v>9000000</v>
      </c>
      <c r="L8" s="23">
        <f t="shared" si="1"/>
        <v>1800000</v>
      </c>
      <c r="M8" s="112">
        <v>16</v>
      </c>
      <c r="N8" s="23">
        <v>21</v>
      </c>
      <c r="O8" s="23">
        <v>250</v>
      </c>
      <c r="P8" s="112"/>
      <c r="Q8" s="112">
        <v>1450</v>
      </c>
      <c r="R8" s="112">
        <v>18</v>
      </c>
      <c r="S8" s="23">
        <v>23</v>
      </c>
      <c r="T8" s="23">
        <v>280</v>
      </c>
      <c r="U8" s="112"/>
      <c r="V8" s="112">
        <v>1500</v>
      </c>
      <c r="W8" s="112">
        <v>15</v>
      </c>
      <c r="X8" s="23">
        <v>20</v>
      </c>
      <c r="Y8" s="23">
        <v>225</v>
      </c>
      <c r="Z8" s="112"/>
      <c r="AA8" s="112">
        <v>1400</v>
      </c>
      <c r="AB8" s="112"/>
      <c r="AC8" s="112"/>
      <c r="AD8" s="112"/>
      <c r="AE8" s="41"/>
    </row>
    <row r="9" spans="1:31" x14ac:dyDescent="0.25">
      <c r="A9" s="165">
        <v>6</v>
      </c>
      <c r="B9" s="112" t="s">
        <v>16</v>
      </c>
      <c r="C9" s="112"/>
      <c r="D9" s="112" t="s">
        <v>23</v>
      </c>
      <c r="E9" s="112">
        <v>1</v>
      </c>
      <c r="F9" s="112">
        <f t="shared" si="2"/>
        <v>6000</v>
      </c>
      <c r="G9" s="112">
        <f t="shared" si="0"/>
        <v>1200</v>
      </c>
      <c r="H9" s="112" t="s">
        <v>32</v>
      </c>
      <c r="I9" s="23">
        <v>1100</v>
      </c>
      <c r="J9" s="23">
        <v>1100</v>
      </c>
      <c r="K9" s="23">
        <f t="shared" si="1"/>
        <v>6600000</v>
      </c>
      <c r="L9" s="23">
        <f t="shared" si="1"/>
        <v>1320000</v>
      </c>
      <c r="M9" s="112">
        <v>10</v>
      </c>
      <c r="N9" s="23">
        <v>15</v>
      </c>
      <c r="O9" s="23">
        <v>200</v>
      </c>
      <c r="P9" s="112"/>
      <c r="Q9" s="112">
        <v>1050</v>
      </c>
      <c r="R9" s="112">
        <v>12</v>
      </c>
      <c r="S9" s="23">
        <v>17</v>
      </c>
      <c r="T9" s="23">
        <v>250</v>
      </c>
      <c r="U9" s="112"/>
      <c r="V9" s="112">
        <v>1200</v>
      </c>
      <c r="W9" s="112">
        <v>9</v>
      </c>
      <c r="X9" s="23">
        <v>14</v>
      </c>
      <c r="Y9" s="23">
        <v>175</v>
      </c>
      <c r="Z9" s="112"/>
      <c r="AA9" s="112">
        <v>1000</v>
      </c>
      <c r="AB9" s="112"/>
      <c r="AC9" s="112"/>
      <c r="AD9" s="112"/>
      <c r="AE9" s="41"/>
    </row>
    <row r="10" spans="1:31" x14ac:dyDescent="0.25">
      <c r="A10" s="165">
        <v>7</v>
      </c>
      <c r="B10" s="112" t="s">
        <v>17</v>
      </c>
      <c r="C10" s="112" t="s">
        <v>18</v>
      </c>
      <c r="D10" s="112" t="s">
        <v>23</v>
      </c>
      <c r="E10" s="112">
        <v>2</v>
      </c>
      <c r="F10" s="112">
        <f t="shared" si="2"/>
        <v>12000</v>
      </c>
      <c r="G10" s="112">
        <f t="shared" si="0"/>
        <v>2400</v>
      </c>
      <c r="H10" s="112" t="s">
        <v>32</v>
      </c>
      <c r="I10" s="23">
        <f>300/2</f>
        <v>150</v>
      </c>
      <c r="J10" s="23">
        <v>300</v>
      </c>
      <c r="K10" s="23">
        <f>I10*F10</f>
        <v>1800000</v>
      </c>
      <c r="L10" s="23">
        <f>J10*G10/2</f>
        <v>360000</v>
      </c>
      <c r="M10" s="112">
        <v>8</v>
      </c>
      <c r="N10" s="23">
        <v>10</v>
      </c>
      <c r="O10" s="23">
        <v>75</v>
      </c>
      <c r="P10" s="112"/>
      <c r="Q10" s="112">
        <f>200/2</f>
        <v>100</v>
      </c>
      <c r="R10" s="112">
        <v>10</v>
      </c>
      <c r="S10" s="23">
        <v>12</v>
      </c>
      <c r="T10" s="23">
        <v>120</v>
      </c>
      <c r="U10" s="112"/>
      <c r="V10" s="112">
        <f>250/2</f>
        <v>125</v>
      </c>
      <c r="W10" s="112">
        <v>7</v>
      </c>
      <c r="X10" s="23">
        <v>9</v>
      </c>
      <c r="Y10" s="23">
        <v>60</v>
      </c>
      <c r="Z10" s="112"/>
      <c r="AA10" s="112">
        <f>175/2</f>
        <v>87.5</v>
      </c>
      <c r="AB10" s="112"/>
      <c r="AC10" s="112"/>
      <c r="AD10" s="112"/>
      <c r="AE10" s="41"/>
    </row>
    <row r="11" spans="1:31" x14ac:dyDescent="0.25">
      <c r="A11" s="165">
        <v>8</v>
      </c>
      <c r="B11" s="112" t="s">
        <v>19</v>
      </c>
      <c r="C11" s="112"/>
      <c r="D11" s="112" t="s">
        <v>23</v>
      </c>
      <c r="E11" s="112">
        <v>1</v>
      </c>
      <c r="F11" s="112">
        <f t="shared" si="2"/>
        <v>6000</v>
      </c>
      <c r="G11" s="112">
        <f t="shared" si="0"/>
        <v>1200</v>
      </c>
      <c r="H11" s="112" t="s">
        <v>31</v>
      </c>
      <c r="I11" s="23">
        <v>1100</v>
      </c>
      <c r="J11" s="23">
        <v>1100</v>
      </c>
      <c r="K11" s="23">
        <f t="shared" ref="K11:L15" si="3">I11*F11</f>
        <v>6600000</v>
      </c>
      <c r="L11" s="23">
        <f t="shared" si="3"/>
        <v>1320000</v>
      </c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41"/>
    </row>
    <row r="12" spans="1:31" x14ac:dyDescent="0.25">
      <c r="A12" s="165">
        <v>9</v>
      </c>
      <c r="B12" s="112" t="s">
        <v>28</v>
      </c>
      <c r="C12" s="112"/>
      <c r="D12" s="112" t="s">
        <v>21</v>
      </c>
      <c r="E12" s="112">
        <v>1</v>
      </c>
      <c r="F12" s="112">
        <f t="shared" si="2"/>
        <v>6000</v>
      </c>
      <c r="G12" s="112"/>
      <c r="H12" s="112" t="s">
        <v>31</v>
      </c>
      <c r="I12" s="23">
        <v>900</v>
      </c>
      <c r="J12" s="23"/>
      <c r="K12" s="23">
        <f t="shared" si="3"/>
        <v>5400000</v>
      </c>
      <c r="L12" s="23">
        <f t="shared" si="3"/>
        <v>0</v>
      </c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41"/>
    </row>
    <row r="13" spans="1:31" x14ac:dyDescent="0.25">
      <c r="A13" s="165">
        <v>10</v>
      </c>
      <c r="B13" s="112" t="s">
        <v>25</v>
      </c>
      <c r="C13" s="112"/>
      <c r="D13" s="112" t="s">
        <v>22</v>
      </c>
      <c r="E13" s="112">
        <v>1</v>
      </c>
      <c r="F13" s="112"/>
      <c r="G13" s="112">
        <f>Est_Prem_Vol*E13*12</f>
        <v>1200</v>
      </c>
      <c r="H13" s="112" t="s">
        <v>32</v>
      </c>
      <c r="I13" s="23">
        <v>655</v>
      </c>
      <c r="J13" s="23">
        <v>655</v>
      </c>
      <c r="K13" s="23">
        <f t="shared" si="3"/>
        <v>0</v>
      </c>
      <c r="L13" s="23">
        <f t="shared" si="3"/>
        <v>786000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41"/>
    </row>
    <row r="14" spans="1:31" x14ac:dyDescent="0.25">
      <c r="A14" s="165">
        <v>11</v>
      </c>
      <c r="B14" s="112" t="s">
        <v>27</v>
      </c>
      <c r="C14" s="112"/>
      <c r="D14" s="112" t="s">
        <v>22</v>
      </c>
      <c r="E14" s="112">
        <v>1</v>
      </c>
      <c r="F14" s="112"/>
      <c r="G14" s="112">
        <f>Est_Prem_Vol*E14*12</f>
        <v>1200</v>
      </c>
      <c r="H14" s="112" t="s">
        <v>31</v>
      </c>
      <c r="I14" s="23">
        <v>1030</v>
      </c>
      <c r="J14" s="23">
        <v>1030</v>
      </c>
      <c r="K14" s="23">
        <f t="shared" si="3"/>
        <v>0</v>
      </c>
      <c r="L14" s="23">
        <f t="shared" si="3"/>
        <v>1236000</v>
      </c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41"/>
    </row>
    <row r="15" spans="1:31" x14ac:dyDescent="0.25">
      <c r="A15" s="165">
        <v>12</v>
      </c>
      <c r="B15" s="112" t="s">
        <v>26</v>
      </c>
      <c r="C15" s="112"/>
      <c r="D15" s="112" t="s">
        <v>22</v>
      </c>
      <c r="E15" s="112">
        <v>1</v>
      </c>
      <c r="F15" s="112"/>
      <c r="G15" s="112">
        <f>Est_Prem_Vol*E15*12</f>
        <v>1200</v>
      </c>
      <c r="H15" s="112" t="s">
        <v>31</v>
      </c>
      <c r="I15" s="23">
        <v>775</v>
      </c>
      <c r="J15" s="23">
        <v>775</v>
      </c>
      <c r="K15" s="23">
        <f t="shared" si="3"/>
        <v>0</v>
      </c>
      <c r="L15" s="23">
        <f t="shared" si="3"/>
        <v>930000</v>
      </c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41"/>
    </row>
    <row r="16" spans="1:31" hidden="1" x14ac:dyDescent="0.25">
      <c r="A16" s="42"/>
      <c r="B16" s="43"/>
      <c r="C16" s="43"/>
      <c r="D16" s="43"/>
      <c r="E16" s="43"/>
      <c r="F16" s="43"/>
      <c r="G16" s="43"/>
      <c r="H16" s="43"/>
      <c r="I16" s="159"/>
      <c r="J16" s="159"/>
      <c r="K16" s="159"/>
      <c r="L16" s="159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4"/>
    </row>
    <row r="17" spans="1:31" hidden="1" x14ac:dyDescent="0.25">
      <c r="A17" s="42"/>
      <c r="B17" s="43"/>
      <c r="C17" s="43"/>
      <c r="D17" s="43"/>
      <c r="E17" s="43"/>
      <c r="F17" s="43"/>
      <c r="G17" s="43"/>
      <c r="H17" s="43"/>
      <c r="I17" s="159">
        <v>7310</v>
      </c>
      <c r="J17" s="159">
        <v>9350</v>
      </c>
      <c r="K17" s="159">
        <f>SUM(K4:K15)</f>
        <v>44580000</v>
      </c>
      <c r="L17" s="159">
        <f>SUM(L4:L15)</f>
        <v>10884000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4"/>
    </row>
    <row r="18" spans="1:31" hidden="1" x14ac:dyDescent="0.25">
      <c r="A18" s="42"/>
      <c r="B18" s="43"/>
      <c r="C18" s="43"/>
      <c r="D18" s="43"/>
      <c r="E18" s="43"/>
      <c r="F18" s="43"/>
      <c r="G18" s="43"/>
      <c r="H18" s="43"/>
      <c r="I18" s="159"/>
      <c r="J18" s="159"/>
      <c r="K18" s="159"/>
      <c r="L18" s="159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4"/>
    </row>
    <row r="19" spans="1:31" hidden="1" x14ac:dyDescent="0.25">
      <c r="A19" s="42"/>
      <c r="B19" s="43"/>
      <c r="C19" s="43"/>
      <c r="D19" s="43"/>
      <c r="E19" s="43"/>
      <c r="F19" s="43"/>
      <c r="G19" s="43"/>
      <c r="H19" s="43"/>
      <c r="I19" s="159"/>
      <c r="J19" s="159"/>
      <c r="K19" s="159"/>
      <c r="L19" s="159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/>
    </row>
    <row r="20" spans="1:31" hidden="1" x14ac:dyDescent="0.25">
      <c r="A20" s="42"/>
      <c r="B20" s="43"/>
      <c r="C20" s="43"/>
      <c r="D20" s="43"/>
      <c r="E20" s="43"/>
      <c r="F20" s="43" t="s">
        <v>42</v>
      </c>
      <c r="G20" s="43" t="s">
        <v>42</v>
      </c>
      <c r="H20" s="43"/>
      <c r="I20" s="159"/>
      <c r="J20" s="159"/>
      <c r="K20" s="159"/>
      <c r="L20" s="159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4"/>
    </row>
    <row r="21" spans="1:31" hidden="1" x14ac:dyDescent="0.25">
      <c r="A21" s="42"/>
      <c r="B21" s="43" t="s">
        <v>38</v>
      </c>
      <c r="C21" s="43"/>
      <c r="D21" s="43"/>
      <c r="E21" s="43"/>
      <c r="F21" s="43">
        <v>40</v>
      </c>
      <c r="G21" s="43">
        <v>60</v>
      </c>
      <c r="H21" s="43"/>
      <c r="I21" s="159">
        <f>F21*50</f>
        <v>2000</v>
      </c>
      <c r="J21" s="159">
        <f>G21*55</f>
        <v>3300</v>
      </c>
      <c r="K21" s="159">
        <f>I21*500*12</f>
        <v>12000000</v>
      </c>
      <c r="L21" s="159">
        <f>J21*100*12</f>
        <v>3960000</v>
      </c>
      <c r="M21" s="159"/>
      <c r="N21" s="159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4"/>
    </row>
    <row r="22" spans="1:31" hidden="1" x14ac:dyDescent="0.25">
      <c r="A22" s="42"/>
      <c r="B22" s="43" t="s">
        <v>39</v>
      </c>
      <c r="C22" s="43"/>
      <c r="D22" s="43"/>
      <c r="E22" s="43"/>
      <c r="F22" s="43"/>
      <c r="G22" s="43"/>
      <c r="H22" s="43"/>
      <c r="I22" s="159"/>
      <c r="J22" s="159"/>
      <c r="K22" s="160"/>
      <c r="L22" s="161"/>
      <c r="M22" s="161"/>
      <c r="N22" s="161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4"/>
    </row>
    <row r="23" spans="1:31" hidden="1" x14ac:dyDescent="0.25">
      <c r="A23" s="42"/>
      <c r="B23" s="43" t="s">
        <v>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4"/>
    </row>
    <row r="24" spans="1:31" hidden="1" x14ac:dyDescent="0.25">
      <c r="A24" s="42"/>
      <c r="B24" s="43" t="s">
        <v>41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4"/>
    </row>
    <row r="25" spans="1:31" hidden="1" x14ac:dyDescent="0.25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4"/>
    </row>
    <row r="26" spans="1:31" hidden="1" x14ac:dyDescent="0.25">
      <c r="A26" s="42"/>
      <c r="B26" s="43" t="s">
        <v>46</v>
      </c>
      <c r="C26" s="43"/>
      <c r="D26" s="43"/>
      <c r="E26" s="43"/>
      <c r="F26" s="43"/>
      <c r="G26" s="43"/>
      <c r="H26" s="43"/>
      <c r="I26" s="159">
        <f>SUM(I21,I17)</f>
        <v>9310</v>
      </c>
      <c r="J26" s="159">
        <f>SUM(J21,J17)</f>
        <v>12650</v>
      </c>
      <c r="K26" s="159">
        <f>SUM(K21,K17)</f>
        <v>56580000</v>
      </c>
      <c r="L26" s="159">
        <f>SUM(L21,L17)</f>
        <v>14844000</v>
      </c>
      <c r="M26" s="159">
        <f>SUM(K26:L26)</f>
        <v>71424000</v>
      </c>
      <c r="N26" s="159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/>
    </row>
    <row r="27" spans="1:31" hidden="1" x14ac:dyDescent="0.25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>
        <f>K26/M26</f>
        <v>0.79217069892473113</v>
      </c>
      <c r="L27" s="43">
        <f>L26/M26</f>
        <v>0.20782930107526881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4"/>
    </row>
    <row r="28" spans="1:31" hidden="1" x14ac:dyDescent="0.25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4"/>
    </row>
    <row r="29" spans="1:31" hidden="1" x14ac:dyDescent="0.25">
      <c r="A29" s="42"/>
      <c r="B29" s="43" t="s">
        <v>47</v>
      </c>
      <c r="C29" s="43">
        <v>100000</v>
      </c>
      <c r="D29" s="43"/>
      <c r="E29" s="43"/>
      <c r="F29" s="43"/>
      <c r="G29" s="43"/>
      <c r="H29" s="43"/>
      <c r="I29" s="43"/>
      <c r="J29" s="43"/>
      <c r="K29" s="43">
        <f>C29*K27</f>
        <v>79217.069892473111</v>
      </c>
      <c r="L29" s="43">
        <f>C29*L27</f>
        <v>20782.930107526881</v>
      </c>
      <c r="M29" s="43">
        <f>SUM(K29:L29)</f>
        <v>100000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4"/>
    </row>
    <row r="30" spans="1:31" hidden="1" x14ac:dyDescent="0.25">
      <c r="A30" s="42"/>
      <c r="B30" s="43" t="s">
        <v>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/>
    </row>
    <row r="31" spans="1:31" hidden="1" x14ac:dyDescent="0.25">
      <c r="A31" s="42"/>
      <c r="B31" s="43" t="s">
        <v>44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4"/>
    </row>
    <row r="32" spans="1:31" hidden="1" x14ac:dyDescent="0.25">
      <c r="A32" s="42"/>
      <c r="B32" s="43" t="s">
        <v>45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4"/>
    </row>
    <row r="33" spans="1:31" hidden="1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4"/>
    </row>
    <row r="34" spans="1:31" hidden="1" x14ac:dyDescent="0.25">
      <c r="A34" s="42"/>
      <c r="B34" s="43" t="s">
        <v>48</v>
      </c>
      <c r="C34" s="43"/>
      <c r="D34" s="43"/>
      <c r="E34" s="43"/>
      <c r="F34" s="43"/>
      <c r="G34" s="43"/>
      <c r="H34" s="43"/>
      <c r="I34" s="43"/>
      <c r="J34" s="43"/>
      <c r="K34" s="159">
        <f>SUM(K29,K26)</f>
        <v>56659217.069892474</v>
      </c>
      <c r="L34" s="159">
        <f>SUM(L29,L26)</f>
        <v>14864782.930107526</v>
      </c>
      <c r="M34" s="159">
        <f>SUM(K34:L34)</f>
        <v>71524000</v>
      </c>
      <c r="N34" s="159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4"/>
    </row>
    <row r="35" spans="1:31" hidden="1" x14ac:dyDescent="0.25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4"/>
    </row>
    <row r="36" spans="1:31" hidden="1" x14ac:dyDescent="0.25">
      <c r="A36" s="42"/>
      <c r="B36" s="43" t="s">
        <v>49</v>
      </c>
      <c r="C36" s="43"/>
      <c r="D36" s="43"/>
      <c r="E36" s="43"/>
      <c r="F36" s="43"/>
      <c r="G36" s="43"/>
      <c r="H36" s="43"/>
      <c r="I36" s="43"/>
      <c r="J36" s="43"/>
      <c r="K36" s="43">
        <f>K34/500/12</f>
        <v>9443.2028449820791</v>
      </c>
      <c r="L36" s="43">
        <f>L34/100/12</f>
        <v>12387.319108422938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4"/>
    </row>
    <row r="37" spans="1:31" hidden="1" x14ac:dyDescent="0.25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4"/>
    </row>
    <row r="38" spans="1:31" hidden="1" x14ac:dyDescent="0.25">
      <c r="A38" s="42"/>
      <c r="B38" s="43" t="s">
        <v>50</v>
      </c>
      <c r="C38" s="43"/>
      <c r="D38" s="43"/>
      <c r="E38" s="43"/>
      <c r="F38" s="43"/>
      <c r="G38" s="43"/>
      <c r="H38" s="43"/>
      <c r="I38" s="43"/>
      <c r="J38" s="43"/>
      <c r="K38" s="43">
        <f>K36/0.9</f>
        <v>10492.447605535643</v>
      </c>
      <c r="L38" s="43">
        <f>L36/0.85</f>
        <v>14573.316598144635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4"/>
    </row>
    <row r="39" spans="1:31" hidden="1" x14ac:dyDescent="0.25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4"/>
    </row>
    <row r="40" spans="1:31" hidden="1" x14ac:dyDescent="0.25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4"/>
    </row>
    <row r="41" spans="1:31" hidden="1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</row>
    <row r="42" spans="1:31" hidden="1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</row>
    <row r="43" spans="1:31" hidden="1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4"/>
    </row>
    <row r="44" spans="1:31" hidden="1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4"/>
    </row>
    <row r="45" spans="1:31" hidden="1" x14ac:dyDescent="0.25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4"/>
    </row>
    <row r="46" spans="1:31" hidden="1" x14ac:dyDescent="0.25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4"/>
    </row>
    <row r="47" spans="1:31" hidden="1" x14ac:dyDescent="0.25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4"/>
    </row>
    <row r="48" spans="1:31" hidden="1" x14ac:dyDescent="0.2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4"/>
    </row>
    <row r="49" spans="1:31" hidden="1" x14ac:dyDescent="0.25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4"/>
    </row>
    <row r="50" spans="1:31" hidden="1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4"/>
    </row>
    <row r="51" spans="1:31" hidden="1" x14ac:dyDescent="0.25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4"/>
    </row>
    <row r="52" spans="1:31" hidden="1" x14ac:dyDescent="0.25">
      <c r="A52" s="42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4"/>
    </row>
    <row r="53" spans="1:31" hidden="1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4"/>
    </row>
    <row r="54" spans="1:31" hidden="1" x14ac:dyDescent="0.25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4"/>
    </row>
    <row r="55" spans="1:31" hidden="1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4"/>
    </row>
    <row r="56" spans="1:31" hidden="1" x14ac:dyDescent="0.2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4"/>
    </row>
    <row r="57" spans="1:31" hidden="1" x14ac:dyDescent="0.25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4"/>
    </row>
    <row r="58" spans="1:31" hidden="1" x14ac:dyDescent="0.25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4"/>
    </row>
    <row r="59" spans="1:31" hidden="1" x14ac:dyDescent="0.25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4"/>
    </row>
    <row r="60" spans="1:31" hidden="1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4"/>
    </row>
    <row r="61" spans="1:31" hidden="1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/>
    </row>
    <row r="62" spans="1:31" hidden="1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4"/>
    </row>
    <row r="63" spans="1:31" hidden="1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4"/>
    </row>
    <row r="64" spans="1:31" hidden="1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4"/>
    </row>
    <row r="65" spans="1:31" hidden="1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4"/>
    </row>
    <row r="66" spans="1:31" hidden="1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4"/>
    </row>
    <row r="67" spans="1:31" hidden="1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4"/>
    </row>
    <row r="68" spans="1:31" hidden="1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4"/>
    </row>
    <row r="69" spans="1:31" hidden="1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4"/>
    </row>
    <row r="70" spans="1:31" hidden="1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4"/>
    </row>
    <row r="71" spans="1:31" hidden="1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4"/>
    </row>
    <row r="72" spans="1:31" hidden="1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4"/>
    </row>
    <row r="73" spans="1:31" hidden="1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4"/>
    </row>
    <row r="74" spans="1:31" hidden="1" x14ac:dyDescent="0.2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4"/>
    </row>
    <row r="75" spans="1:31" hidden="1" x14ac:dyDescent="0.25">
      <c r="A75" s="42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4"/>
    </row>
    <row r="76" spans="1:31" hidden="1" x14ac:dyDescent="0.25">
      <c r="A76" s="42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4"/>
    </row>
    <row r="77" spans="1:31" hidden="1" x14ac:dyDescent="0.25">
      <c r="A77" s="42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4"/>
    </row>
    <row r="78" spans="1:31" hidden="1" x14ac:dyDescent="0.25">
      <c r="A78" s="42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4"/>
    </row>
    <row r="79" spans="1:31" hidden="1" x14ac:dyDescent="0.25">
      <c r="A79" s="42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4"/>
    </row>
    <row r="80" spans="1:31" hidden="1" x14ac:dyDescent="0.25">
      <c r="A80" s="42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4"/>
    </row>
    <row r="81" spans="1:31" hidden="1" x14ac:dyDescent="0.25">
      <c r="A81" s="42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4"/>
    </row>
    <row r="82" spans="1:31" hidden="1" x14ac:dyDescent="0.25">
      <c r="A82" s="42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4"/>
    </row>
    <row r="83" spans="1:31" hidden="1" x14ac:dyDescent="0.25">
      <c r="A83" s="42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4"/>
    </row>
    <row r="84" spans="1:31" hidden="1" x14ac:dyDescent="0.25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4"/>
    </row>
    <row r="85" spans="1:31" hidden="1" x14ac:dyDescent="0.25">
      <c r="A85" s="42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4"/>
    </row>
    <row r="86" spans="1:31" hidden="1" x14ac:dyDescent="0.25">
      <c r="A86" s="42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4"/>
    </row>
    <row r="87" spans="1:31" hidden="1" x14ac:dyDescent="0.25">
      <c r="A87" s="42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4"/>
    </row>
    <row r="88" spans="1:31" hidden="1" x14ac:dyDescent="0.25">
      <c r="A88" s="42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4"/>
    </row>
    <row r="89" spans="1:31" hidden="1" x14ac:dyDescent="0.25">
      <c r="A89" s="42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4"/>
    </row>
    <row r="90" spans="1:31" hidden="1" x14ac:dyDescent="0.25">
      <c r="A90" s="42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4"/>
    </row>
    <row r="91" spans="1:31" hidden="1" x14ac:dyDescent="0.25">
      <c r="A91" s="42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4"/>
    </row>
    <row r="92" spans="1:31" hidden="1" x14ac:dyDescent="0.25">
      <c r="A92" s="42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4"/>
    </row>
    <row r="93" spans="1:31" hidden="1" x14ac:dyDescent="0.25">
      <c r="A93" s="42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4"/>
    </row>
    <row r="94" spans="1:31" hidden="1" x14ac:dyDescent="0.25">
      <c r="A94" s="42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4"/>
    </row>
    <row r="95" spans="1:31" hidden="1" x14ac:dyDescent="0.25">
      <c r="A95" s="42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4"/>
    </row>
    <row r="96" spans="1:31" hidden="1" x14ac:dyDescent="0.25">
      <c r="A96" s="42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4"/>
    </row>
    <row r="97" spans="1:31" hidden="1" x14ac:dyDescent="0.25">
      <c r="A97" s="42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4"/>
    </row>
    <row r="98" spans="1:31" hidden="1" x14ac:dyDescent="0.25">
      <c r="A98" s="42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4"/>
    </row>
    <row r="99" spans="1:31" hidden="1" x14ac:dyDescent="0.25">
      <c r="A99" s="42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4"/>
    </row>
    <row r="100" spans="1:31" hidden="1" x14ac:dyDescent="0.25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4"/>
    </row>
    <row r="101" spans="1:31" ht="15.75" thickBot="1" x14ac:dyDescent="0.3">
      <c r="A101" s="162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4"/>
    </row>
  </sheetData>
  <mergeCells count="16">
    <mergeCell ref="M1:Q1"/>
    <mergeCell ref="R1:V1"/>
    <mergeCell ref="W1:AA1"/>
    <mergeCell ref="AB1:AE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dataValidations count="2">
    <dataValidation type="list" allowBlank="1" showInputMessage="1" showErrorMessage="1" sqref="H4:H15">
      <formula1>Make_Buy</formula1>
    </dataValidation>
    <dataValidation type="list" allowBlank="1" showInputMessage="1" showErrorMessage="1" sqref="D4:D15">
      <formula1>Model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opLeftCell="R40" zoomScaleNormal="100" workbookViewId="0">
      <selection activeCell="AK29" sqref="AK29:AL29"/>
    </sheetView>
  </sheetViews>
  <sheetFormatPr defaultRowHeight="15" x14ac:dyDescent="0.25"/>
  <cols>
    <col min="1" max="1" width="12" hidden="1" customWidth="1"/>
    <col min="2" max="4" width="10.85546875" hidden="1" customWidth="1"/>
    <col min="5" max="5" width="15.140625" style="17" hidden="1" customWidth="1"/>
    <col min="6" max="17" width="0" hidden="1" customWidth="1"/>
    <col min="18" max="22" width="9.140625" style="91"/>
    <col min="23" max="23" width="1.7109375" style="19" customWidth="1"/>
    <col min="24" max="24" width="10.85546875" style="19" bestFit="1" customWidth="1"/>
    <col min="25" max="25" width="9.140625" style="19"/>
    <col min="26" max="26" width="36.5703125" style="19" bestFit="1" customWidth="1"/>
    <col min="32" max="32" width="1.7109375" customWidth="1"/>
    <col min="33" max="33" width="13.28515625" bestFit="1" customWidth="1"/>
    <col min="35" max="35" width="36.5703125" bestFit="1" customWidth="1"/>
  </cols>
  <sheetData>
    <row r="1" spans="1:35" s="18" customFormat="1" ht="15.75" thickBot="1" x14ac:dyDescent="0.3">
      <c r="A1" s="18" t="s">
        <v>95</v>
      </c>
      <c r="B1" s="18">
        <f>_xlfn.NUMBERVALUE(LEFT(A1,SEARCH("_",A1)-1))</f>
        <v>345</v>
      </c>
      <c r="C1" s="18">
        <f>_xlfn.NUMBERVALUE(MID(A1,SEARCH("_",A1)+1,SEARCH("_",A1,SEARCH("_",A1)+1)-SEARCH("_",A1)-1))</f>
        <v>415</v>
      </c>
      <c r="D1" s="18">
        <f>_xlfn.NUMBERVALUE(RIGHT(A1,LEN(A1)-SEARCH("_",A1,SEARCH("_",A1)+1)))</f>
        <v>375</v>
      </c>
      <c r="J1" s="18" t="s">
        <v>109</v>
      </c>
      <c r="R1" s="91"/>
      <c r="S1" s="91"/>
      <c r="T1" s="91"/>
      <c r="U1" s="91"/>
      <c r="V1" s="91"/>
      <c r="W1" s="19"/>
      <c r="X1" s="19"/>
      <c r="Y1" s="19"/>
      <c r="Z1" s="19"/>
      <c r="AG1" s="18" t="s">
        <v>110</v>
      </c>
      <c r="AH1" s="18" t="s">
        <v>101</v>
      </c>
    </row>
    <row r="2" spans="1:35" ht="15.75" thickBot="1" x14ac:dyDescent="0.3">
      <c r="B2" s="144" t="s">
        <v>89</v>
      </c>
      <c r="C2" s="145"/>
      <c r="D2" s="146"/>
      <c r="E2" s="142" t="s">
        <v>112</v>
      </c>
      <c r="F2" s="142" t="s">
        <v>60</v>
      </c>
      <c r="G2" s="142" t="s">
        <v>61</v>
      </c>
      <c r="H2" s="140" t="s">
        <v>90</v>
      </c>
      <c r="J2" t="s">
        <v>111</v>
      </c>
    </row>
    <row r="3" spans="1:35" ht="15.75" thickBot="1" x14ac:dyDescent="0.3">
      <c r="B3" s="20" t="s">
        <v>6</v>
      </c>
      <c r="C3" s="21" t="s">
        <v>7</v>
      </c>
      <c r="D3" s="21" t="s">
        <v>8</v>
      </c>
      <c r="E3" s="143"/>
      <c r="F3" s="143"/>
      <c r="G3" s="143"/>
      <c r="H3" s="141"/>
      <c r="S3" s="133" t="s">
        <v>111</v>
      </c>
      <c r="T3" s="134"/>
      <c r="U3" s="134"/>
      <c r="V3" s="135"/>
      <c r="X3" s="46" t="s">
        <v>59</v>
      </c>
      <c r="Y3" s="24">
        <f>SUM(EOQ!D5:F5)</f>
        <v>6000</v>
      </c>
      <c r="Z3" s="40" t="s">
        <v>102</v>
      </c>
      <c r="AB3" s="130" t="s">
        <v>100</v>
      </c>
      <c r="AC3" s="131"/>
      <c r="AD3" s="131"/>
      <c r="AE3" s="132"/>
      <c r="AG3" s="46" t="s">
        <v>59</v>
      </c>
      <c r="AH3" s="24">
        <f>EOQ!D5</f>
        <v>2400</v>
      </c>
      <c r="AI3" s="40" t="s">
        <v>102</v>
      </c>
    </row>
    <row r="4" spans="1:35" s="17" customFormat="1" ht="15.75" thickBot="1" x14ac:dyDescent="0.3">
      <c r="E4" s="3"/>
      <c r="F4" s="3">
        <f>EOQ!S15</f>
        <v>38328</v>
      </c>
      <c r="G4" s="3">
        <f>EOQ!S16</f>
        <v>183473.5</v>
      </c>
      <c r="H4" s="3">
        <f>SUM(F4:G4)</f>
        <v>221801.5</v>
      </c>
      <c r="R4" s="91"/>
      <c r="S4" s="30" t="s">
        <v>96</v>
      </c>
      <c r="T4" s="31" t="s">
        <v>60</v>
      </c>
      <c r="U4" s="31" t="s">
        <v>61</v>
      </c>
      <c r="V4" s="32" t="s">
        <v>90</v>
      </c>
      <c r="W4" s="19"/>
      <c r="X4" s="47" t="s">
        <v>97</v>
      </c>
      <c r="Y4" s="23">
        <f>EOQ!AE5</f>
        <v>275.89999999999998</v>
      </c>
      <c r="Z4" s="41" t="s">
        <v>131</v>
      </c>
      <c r="AB4" s="30" t="s">
        <v>96</v>
      </c>
      <c r="AC4" s="31" t="s">
        <v>60</v>
      </c>
      <c r="AD4" s="31" t="s">
        <v>61</v>
      </c>
      <c r="AE4" s="32" t="s">
        <v>90</v>
      </c>
      <c r="AG4" s="47" t="s">
        <v>97</v>
      </c>
      <c r="AH4" s="23">
        <f>Basic_Data!Q4</f>
        <v>275</v>
      </c>
      <c r="AI4" s="41" t="s">
        <v>103</v>
      </c>
    </row>
    <row r="5" spans="1:35" ht="15.75" thickBot="1" x14ac:dyDescent="0.3">
      <c r="A5" t="str">
        <f>EOQ!B5</f>
        <v>Enclosure + Accessories</v>
      </c>
      <c r="B5">
        <v>100</v>
      </c>
      <c r="C5" s="17">
        <v>300</v>
      </c>
      <c r="D5" s="17">
        <v>250</v>
      </c>
      <c r="E5" s="3" t="str">
        <f>B5&amp;"_"&amp;C5&amp;"_"&amp;D5</f>
        <v>100_300_250</v>
      </c>
      <c r="F5" s="3">
        <f t="dataTable" ref="F5:H28" dt2D="0" dtr="0" r1="A1"/>
        <v>96372</v>
      </c>
      <c r="G5" s="3">
        <v>172437.5</v>
      </c>
      <c r="H5" s="3">
        <v>268809.5</v>
      </c>
      <c r="S5" s="36"/>
      <c r="T5" s="37">
        <f>Y12</f>
        <v>103285.71428571428</v>
      </c>
      <c r="U5" s="37">
        <f>Y13</f>
        <v>3862.6000000000004</v>
      </c>
      <c r="V5" s="38">
        <f>SUM(T5:U5)</f>
        <v>107148.31428571428</v>
      </c>
      <c r="X5" s="47" t="s">
        <v>98</v>
      </c>
      <c r="Y5" s="111">
        <f>EOQ!S1</f>
        <v>0.2</v>
      </c>
      <c r="Z5" s="41" t="s">
        <v>104</v>
      </c>
      <c r="AB5" s="36"/>
      <c r="AC5" s="37">
        <f>AH9</f>
        <v>65712</v>
      </c>
      <c r="AD5" s="37">
        <f>AH10</f>
        <v>2750</v>
      </c>
      <c r="AE5" s="38">
        <f>AH11</f>
        <v>68462</v>
      </c>
      <c r="AG5" s="47" t="s">
        <v>98</v>
      </c>
      <c r="AH5" s="39">
        <f>EOQ!S1</f>
        <v>0.2</v>
      </c>
      <c r="AI5" s="41" t="s">
        <v>104</v>
      </c>
    </row>
    <row r="6" spans="1:35" x14ac:dyDescent="0.25">
      <c r="B6">
        <v>200</v>
      </c>
      <c r="C6" s="17">
        <v>350</v>
      </c>
      <c r="D6" s="17">
        <v>300</v>
      </c>
      <c r="E6" s="3" t="str">
        <f t="shared" ref="E6:E28" si="0">B6&amp;"_"&amp;C6&amp;"_"&amp;D6</f>
        <v>200_350_300</v>
      </c>
      <c r="F6" s="3">
        <v>59136</v>
      </c>
      <c r="G6" s="3">
        <v>173817</v>
      </c>
      <c r="H6" s="3">
        <v>232953</v>
      </c>
      <c r="S6" s="33">
        <v>100</v>
      </c>
      <c r="T6" s="34">
        <f t="dataTable" ref="T6:V65" dt2D="0" dtr="0" r1="Y9"/>
        <v>103285.71428571428</v>
      </c>
      <c r="U6" s="34">
        <v>3862.6000000000004</v>
      </c>
      <c r="V6" s="35">
        <v>107148.31428571428</v>
      </c>
      <c r="X6" s="47" t="s">
        <v>99</v>
      </c>
      <c r="Y6" s="23">
        <f>ROUNDUP(SUMPRODUCT(EOQ!P5:R5,EOQ!D1:F1),0)</f>
        <v>2410</v>
      </c>
      <c r="Z6" s="41" t="s">
        <v>105</v>
      </c>
      <c r="AB6" s="33">
        <v>100</v>
      </c>
      <c r="AC6" s="34">
        <f t="dataTable" ref="AC6:AE29" dt2D="0" dtr="0" r1="AH7"/>
        <v>65712</v>
      </c>
      <c r="AD6" s="34">
        <v>2750</v>
      </c>
      <c r="AE6" s="35">
        <v>68462</v>
      </c>
      <c r="AG6" s="47" t="s">
        <v>99</v>
      </c>
      <c r="AH6" s="23">
        <f>EOQ!P5</f>
        <v>2738</v>
      </c>
      <c r="AI6" s="41" t="s">
        <v>105</v>
      </c>
    </row>
    <row r="7" spans="1:35" ht="15.75" thickBot="1" x14ac:dyDescent="0.3">
      <c r="B7" s="17">
        <v>300</v>
      </c>
      <c r="C7" s="17">
        <v>400</v>
      </c>
      <c r="D7" s="17">
        <v>350</v>
      </c>
      <c r="E7" s="3" t="str">
        <f t="shared" si="0"/>
        <v>300_400_350</v>
      </c>
      <c r="F7" s="3">
        <v>43804</v>
      </c>
      <c r="G7" s="3">
        <v>169678.5</v>
      </c>
      <c r="H7" s="3">
        <v>213482.5</v>
      </c>
      <c r="S7" s="25">
        <v>200</v>
      </c>
      <c r="T7" s="23">
        <v>68857.142857142855</v>
      </c>
      <c r="U7" s="23">
        <v>5793.9</v>
      </c>
      <c r="V7" s="26">
        <v>74651.042857142849</v>
      </c>
      <c r="X7" s="47" t="s">
        <v>67</v>
      </c>
      <c r="Y7" s="23">
        <f>ROUNDUP(SUMPRODUCT(EOQ!I5:K5,EOQ!D1:F1),0)</f>
        <v>70</v>
      </c>
      <c r="Z7" s="41" t="s">
        <v>132</v>
      </c>
      <c r="AB7" s="25">
        <v>200</v>
      </c>
      <c r="AC7" s="23">
        <v>32856</v>
      </c>
      <c r="AD7" s="23">
        <v>5500</v>
      </c>
      <c r="AE7" s="26">
        <v>38356</v>
      </c>
      <c r="AG7" s="48" t="s">
        <v>96</v>
      </c>
      <c r="AH7" s="28">
        <v>100</v>
      </c>
      <c r="AI7" s="45" t="s">
        <v>106</v>
      </c>
    </row>
    <row r="8" spans="1:35" ht="15.75" thickBot="1" x14ac:dyDescent="0.3">
      <c r="B8" s="17">
        <v>400</v>
      </c>
      <c r="C8" s="17">
        <v>450</v>
      </c>
      <c r="D8" s="17">
        <v>400</v>
      </c>
      <c r="E8" s="3" t="str">
        <f t="shared" si="0"/>
        <v>400_450_400</v>
      </c>
      <c r="F8" s="3">
        <v>38328</v>
      </c>
      <c r="G8" s="3">
        <v>183473.5</v>
      </c>
      <c r="H8" s="3">
        <v>221801.5</v>
      </c>
      <c r="J8" s="18"/>
      <c r="K8" s="18"/>
      <c r="L8" s="18"/>
      <c r="S8" s="25">
        <v>300</v>
      </c>
      <c r="T8" s="23">
        <v>41314.28571428571</v>
      </c>
      <c r="U8" s="23">
        <v>9656.4999999999982</v>
      </c>
      <c r="V8" s="26">
        <v>50970.78571428571</v>
      </c>
      <c r="X8" s="47" t="s">
        <v>135</v>
      </c>
      <c r="Y8" s="23">
        <f>CEILING(Y3/Y10,Y7)</f>
        <v>70</v>
      </c>
      <c r="Z8" s="41" t="s">
        <v>134</v>
      </c>
      <c r="AB8" s="25">
        <v>300</v>
      </c>
      <c r="AC8" s="23">
        <v>21904</v>
      </c>
      <c r="AD8" s="23">
        <v>8250</v>
      </c>
      <c r="AE8" s="26">
        <v>30154</v>
      </c>
      <c r="AG8" s="42"/>
      <c r="AH8" s="43"/>
      <c r="AI8" s="44"/>
    </row>
    <row r="9" spans="1:35" x14ac:dyDescent="0.25">
      <c r="B9" s="17">
        <v>500</v>
      </c>
      <c r="C9" s="17">
        <v>500</v>
      </c>
      <c r="D9" s="17">
        <v>450</v>
      </c>
      <c r="E9" s="3" t="str">
        <f t="shared" si="0"/>
        <v>500_500_450</v>
      </c>
      <c r="F9" s="3">
        <v>31210</v>
      </c>
      <c r="G9" s="3">
        <v>173817</v>
      </c>
      <c r="H9" s="3">
        <v>205027</v>
      </c>
      <c r="J9" s="18"/>
      <c r="K9" s="18"/>
      <c r="L9" s="18"/>
      <c r="S9" s="25">
        <v>400</v>
      </c>
      <c r="T9" s="23">
        <v>34428.571428571428</v>
      </c>
      <c r="U9" s="23">
        <v>11587.8</v>
      </c>
      <c r="V9" s="26">
        <v>46016.371428571423</v>
      </c>
      <c r="X9" s="47" t="s">
        <v>96</v>
      </c>
      <c r="Y9" s="23">
        <v>100</v>
      </c>
      <c r="Z9" s="41" t="s">
        <v>106</v>
      </c>
      <c r="AB9" s="25">
        <v>400</v>
      </c>
      <c r="AC9" s="23">
        <v>16428</v>
      </c>
      <c r="AD9" s="23">
        <v>11000</v>
      </c>
      <c r="AE9" s="26">
        <v>27428</v>
      </c>
      <c r="AG9" s="46" t="s">
        <v>60</v>
      </c>
      <c r="AH9" s="24">
        <f>AH3/AH7*AH6</f>
        <v>65712</v>
      </c>
      <c r="AI9" s="40" t="s">
        <v>138</v>
      </c>
    </row>
    <row r="10" spans="1:35" ht="15.75" thickBot="1" x14ac:dyDescent="0.3">
      <c r="B10" s="17">
        <v>600</v>
      </c>
      <c r="C10" s="17">
        <v>550</v>
      </c>
      <c r="D10" s="17">
        <v>500</v>
      </c>
      <c r="E10" s="3" t="str">
        <f t="shared" si="0"/>
        <v>600_550_500</v>
      </c>
      <c r="F10" s="3">
        <v>28472</v>
      </c>
      <c r="G10" s="3">
        <v>182094</v>
      </c>
      <c r="H10" s="3">
        <v>210566</v>
      </c>
      <c r="J10" s="18"/>
      <c r="K10" s="18"/>
      <c r="L10" s="18"/>
      <c r="S10" s="25">
        <v>500</v>
      </c>
      <c r="T10" s="23">
        <v>25821.428571428569</v>
      </c>
      <c r="U10" s="23">
        <v>15450.400000000001</v>
      </c>
      <c r="V10" s="26">
        <v>41271.828571428574</v>
      </c>
      <c r="X10" s="48" t="s">
        <v>136</v>
      </c>
      <c r="Y10" s="28">
        <f>CEILING(Y9,Y7)</f>
        <v>140</v>
      </c>
      <c r="Z10" s="113" t="s">
        <v>137</v>
      </c>
      <c r="AB10" s="25">
        <v>500</v>
      </c>
      <c r="AC10" s="23">
        <v>13142.4</v>
      </c>
      <c r="AD10" s="23">
        <v>13750</v>
      </c>
      <c r="AE10" s="26">
        <v>26892.400000000001</v>
      </c>
      <c r="AG10" s="47" t="s">
        <v>61</v>
      </c>
      <c r="AH10" s="23">
        <f>(AH7/2)*AH5*AH4</f>
        <v>2750</v>
      </c>
      <c r="AI10" s="41" t="s">
        <v>139</v>
      </c>
    </row>
    <row r="11" spans="1:35" ht="15.75" thickBot="1" x14ac:dyDescent="0.3">
      <c r="B11" s="17">
        <v>700</v>
      </c>
      <c r="C11" s="17">
        <v>600</v>
      </c>
      <c r="D11" s="17">
        <v>550</v>
      </c>
      <c r="E11" s="3" t="str">
        <f t="shared" si="0"/>
        <v>700_600_550</v>
      </c>
      <c r="F11" s="3">
        <v>26282</v>
      </c>
      <c r="G11" s="3">
        <v>188991.5</v>
      </c>
      <c r="H11" s="3">
        <v>215273.5</v>
      </c>
      <c r="J11" s="18"/>
      <c r="K11" s="18"/>
      <c r="L11" s="18"/>
      <c r="S11" s="25">
        <v>600</v>
      </c>
      <c r="T11" s="23">
        <v>22952.38095238095</v>
      </c>
      <c r="U11" s="23">
        <v>17381.7</v>
      </c>
      <c r="V11" s="26">
        <v>40334.080952380951</v>
      </c>
      <c r="AB11" s="25">
        <v>600</v>
      </c>
      <c r="AC11" s="23">
        <v>10952</v>
      </c>
      <c r="AD11" s="23">
        <v>16500</v>
      </c>
      <c r="AE11" s="26">
        <v>27452</v>
      </c>
      <c r="AG11" s="48" t="s">
        <v>90</v>
      </c>
      <c r="AH11" s="28">
        <f>SUM(AH9:AH10)</f>
        <v>68462</v>
      </c>
      <c r="AI11" s="45" t="s">
        <v>107</v>
      </c>
    </row>
    <row r="12" spans="1:35" ht="15.75" thickBot="1" x14ac:dyDescent="0.3">
      <c r="B12" s="17">
        <v>800</v>
      </c>
      <c r="C12" s="17">
        <v>650</v>
      </c>
      <c r="D12" s="17">
        <v>600</v>
      </c>
      <c r="E12" s="3" t="str">
        <f t="shared" si="0"/>
        <v>800_650_600</v>
      </c>
      <c r="F12" s="3">
        <v>23544</v>
      </c>
      <c r="G12" s="3">
        <v>187612</v>
      </c>
      <c r="H12" s="3">
        <v>211156</v>
      </c>
      <c r="J12" s="18"/>
      <c r="K12" s="18"/>
      <c r="L12" s="18"/>
      <c r="S12" s="25">
        <v>700</v>
      </c>
      <c r="T12" s="23">
        <v>20657.142857142855</v>
      </c>
      <c r="U12" s="23">
        <v>19312.999999999996</v>
      </c>
      <c r="V12" s="26">
        <v>39970.142857142855</v>
      </c>
      <c r="X12" s="46" t="s">
        <v>60</v>
      </c>
      <c r="Y12" s="24">
        <f>Y3/Y10*Y6</f>
        <v>103285.71428571428</v>
      </c>
      <c r="Z12" s="40" t="s">
        <v>140</v>
      </c>
      <c r="AB12" s="25">
        <v>700</v>
      </c>
      <c r="AC12" s="23">
        <v>9387.4285714285706</v>
      </c>
      <c r="AD12" s="23">
        <v>19250</v>
      </c>
      <c r="AE12" s="26">
        <v>28637.428571428572</v>
      </c>
    </row>
    <row r="13" spans="1:35" x14ac:dyDescent="0.25">
      <c r="B13" s="17">
        <v>900</v>
      </c>
      <c r="C13" s="17">
        <v>700</v>
      </c>
      <c r="D13" s="17">
        <v>650</v>
      </c>
      <c r="E13" s="3" t="str">
        <f t="shared" si="0"/>
        <v>900_700_650</v>
      </c>
      <c r="F13" s="3">
        <v>21354</v>
      </c>
      <c r="G13" s="3">
        <v>186232.5</v>
      </c>
      <c r="H13" s="3">
        <v>207586.5</v>
      </c>
      <c r="J13" s="18"/>
      <c r="K13" s="18"/>
      <c r="L13" s="18"/>
      <c r="S13" s="25">
        <v>800</v>
      </c>
      <c r="T13" s="23">
        <v>17214.285714285714</v>
      </c>
      <c r="U13" s="23">
        <v>23175.599999999999</v>
      </c>
      <c r="V13" s="26">
        <v>40389.885714285716</v>
      </c>
      <c r="X13" s="47" t="s">
        <v>61</v>
      </c>
      <c r="Y13" s="23">
        <f>(Y10/2)*Y4*Y5</f>
        <v>3862.6000000000004</v>
      </c>
      <c r="Z13" s="41" t="s">
        <v>142</v>
      </c>
      <c r="AB13" s="25">
        <v>800</v>
      </c>
      <c r="AC13" s="23">
        <v>8214</v>
      </c>
      <c r="AD13" s="23">
        <v>22000</v>
      </c>
      <c r="AE13" s="26">
        <v>30214</v>
      </c>
      <c r="AG13" s="46" t="s">
        <v>143</v>
      </c>
      <c r="AH13" s="86">
        <f>MIN(AE6:AE29)</f>
        <v>26892.400000000001</v>
      </c>
    </row>
    <row r="14" spans="1:35" ht="15.75" thickBot="1" x14ac:dyDescent="0.3">
      <c r="B14" s="17">
        <v>1000</v>
      </c>
      <c r="C14" s="17">
        <v>750</v>
      </c>
      <c r="D14" s="17">
        <v>700</v>
      </c>
      <c r="E14" s="3" t="str">
        <f t="shared" si="0"/>
        <v>1000_750_700</v>
      </c>
      <c r="F14" s="3">
        <v>21354</v>
      </c>
      <c r="G14" s="3">
        <v>202786.5</v>
      </c>
      <c r="H14" s="3">
        <v>224140.5</v>
      </c>
      <c r="J14" s="18"/>
      <c r="K14" s="18"/>
      <c r="L14" s="18"/>
      <c r="S14" s="25">
        <v>900</v>
      </c>
      <c r="T14" s="23">
        <v>15890.109890109889</v>
      </c>
      <c r="U14" s="23">
        <v>25106.899999999998</v>
      </c>
      <c r="V14" s="26">
        <v>40997.009890109883</v>
      </c>
      <c r="X14" s="48" t="s">
        <v>90</v>
      </c>
      <c r="Y14" s="28">
        <f>SUM(Y12:Y13)</f>
        <v>107148.31428571428</v>
      </c>
      <c r="Z14" s="45" t="s">
        <v>107</v>
      </c>
      <c r="AB14" s="25">
        <v>900</v>
      </c>
      <c r="AC14" s="23">
        <v>7301.333333333333</v>
      </c>
      <c r="AD14" s="23">
        <v>24750</v>
      </c>
      <c r="AE14" s="26">
        <v>32051.333333333332</v>
      </c>
      <c r="AG14" s="48" t="s">
        <v>144</v>
      </c>
      <c r="AH14" s="45">
        <f>INDEX($AB$6:$AE$29,MATCH(AH13,$AE$6:$AE$29,0),1)</f>
        <v>500</v>
      </c>
    </row>
    <row r="15" spans="1:35" ht="15.75" thickBot="1" x14ac:dyDescent="0.3">
      <c r="B15" s="17">
        <v>1100</v>
      </c>
      <c r="C15" s="17">
        <v>800</v>
      </c>
      <c r="D15" s="17">
        <v>750</v>
      </c>
      <c r="E15" s="3" t="str">
        <f t="shared" si="0"/>
        <v>1100_800_750</v>
      </c>
      <c r="F15" s="3">
        <v>21354</v>
      </c>
      <c r="G15" s="3">
        <v>219340.5</v>
      </c>
      <c r="H15" s="3">
        <v>240694.5</v>
      </c>
      <c r="J15" s="18"/>
      <c r="K15" s="18"/>
      <c r="L15" s="18"/>
      <c r="S15" s="25">
        <v>1000</v>
      </c>
      <c r="T15" s="23">
        <v>13771.428571428572</v>
      </c>
      <c r="U15" s="23">
        <v>28969.5</v>
      </c>
      <c r="V15" s="26">
        <v>42740.928571428572</v>
      </c>
      <c r="AB15" s="25">
        <v>1000</v>
      </c>
      <c r="AC15" s="23">
        <v>6571.2</v>
      </c>
      <c r="AD15" s="23">
        <v>27500</v>
      </c>
      <c r="AE15" s="26">
        <v>34071.199999999997</v>
      </c>
    </row>
    <row r="16" spans="1:35" x14ac:dyDescent="0.25">
      <c r="B16" s="17">
        <v>1200</v>
      </c>
      <c r="C16" s="17">
        <v>850</v>
      </c>
      <c r="D16" s="17">
        <v>800</v>
      </c>
      <c r="E16" s="3" t="str">
        <f t="shared" si="0"/>
        <v>1200_850_800</v>
      </c>
      <c r="F16" s="3">
        <v>18616</v>
      </c>
      <c r="G16" s="3">
        <v>202786.5</v>
      </c>
      <c r="H16" s="3">
        <v>221402.5</v>
      </c>
      <c r="J16" s="18"/>
      <c r="K16" s="18"/>
      <c r="L16" s="18"/>
      <c r="S16" s="25">
        <v>1100</v>
      </c>
      <c r="T16" s="23">
        <v>12910.714285714284</v>
      </c>
      <c r="U16" s="23">
        <v>30900.800000000003</v>
      </c>
      <c r="V16" s="26">
        <v>43811.514285714286</v>
      </c>
      <c r="X16" s="46" t="s">
        <v>6</v>
      </c>
      <c r="Y16" s="114">
        <f>Supp1_wt</f>
        <v>0.4</v>
      </c>
      <c r="Z16" s="127" t="s">
        <v>141</v>
      </c>
      <c r="AB16" s="25">
        <v>1100</v>
      </c>
      <c r="AC16" s="23">
        <v>5973.8181818181811</v>
      </c>
      <c r="AD16" s="23">
        <v>30250</v>
      </c>
      <c r="AE16" s="26">
        <v>36223.818181818184</v>
      </c>
    </row>
    <row r="17" spans="2:31" x14ac:dyDescent="0.25">
      <c r="B17" s="17">
        <v>1300</v>
      </c>
      <c r="C17" s="17">
        <v>900</v>
      </c>
      <c r="D17" s="17">
        <v>850</v>
      </c>
      <c r="E17" s="3" t="str">
        <f t="shared" si="0"/>
        <v>1300_900_850</v>
      </c>
      <c r="F17" s="3">
        <v>16426</v>
      </c>
      <c r="G17" s="3">
        <v>193130</v>
      </c>
      <c r="H17" s="3">
        <v>209556</v>
      </c>
      <c r="J17" s="18"/>
      <c r="K17" s="18"/>
      <c r="L17" s="18"/>
      <c r="S17" s="25">
        <v>1200</v>
      </c>
      <c r="T17" s="23">
        <v>11476.190476190475</v>
      </c>
      <c r="U17" s="23">
        <v>34763.4</v>
      </c>
      <c r="V17" s="26">
        <v>46239.590476190475</v>
      </c>
      <c r="X17" s="47" t="s">
        <v>7</v>
      </c>
      <c r="Y17" s="112">
        <f>Supp2_wt</f>
        <v>0.33</v>
      </c>
      <c r="Z17" s="128"/>
      <c r="AB17" s="25">
        <v>1200</v>
      </c>
      <c r="AC17" s="23">
        <v>5476</v>
      </c>
      <c r="AD17" s="23">
        <v>33000</v>
      </c>
      <c r="AE17" s="26">
        <v>38476</v>
      </c>
    </row>
    <row r="18" spans="2:31" x14ac:dyDescent="0.25">
      <c r="B18" s="17">
        <v>1400</v>
      </c>
      <c r="C18" s="17">
        <v>950</v>
      </c>
      <c r="D18" s="17">
        <v>900</v>
      </c>
      <c r="E18" s="3" t="str">
        <f t="shared" si="0"/>
        <v>1400_950_900</v>
      </c>
      <c r="F18" s="3">
        <v>16426</v>
      </c>
      <c r="G18" s="3">
        <v>205545.5</v>
      </c>
      <c r="H18" s="3">
        <v>221971.5</v>
      </c>
      <c r="J18" s="18"/>
      <c r="K18" s="18"/>
      <c r="L18" s="18"/>
      <c r="S18" s="25">
        <v>1300</v>
      </c>
      <c r="T18" s="23">
        <v>10872.180451127821</v>
      </c>
      <c r="U18" s="23">
        <v>36694.699999999997</v>
      </c>
      <c r="V18" s="26">
        <v>47566.880451127814</v>
      </c>
      <c r="X18" s="47" t="s">
        <v>8</v>
      </c>
      <c r="Y18" s="112">
        <f>Supp3_wt</f>
        <v>0.26999999999999996</v>
      </c>
      <c r="Z18" s="128"/>
      <c r="AB18" s="25">
        <v>1300</v>
      </c>
      <c r="AC18" s="23">
        <v>5054.7692307692314</v>
      </c>
      <c r="AD18" s="23">
        <v>35750</v>
      </c>
      <c r="AE18" s="26">
        <v>40804.769230769234</v>
      </c>
    </row>
    <row r="19" spans="2:31" ht="15.75" thickBot="1" x14ac:dyDescent="0.3">
      <c r="B19" s="17">
        <v>1500</v>
      </c>
      <c r="C19" s="17">
        <v>1000</v>
      </c>
      <c r="D19" s="17">
        <v>950</v>
      </c>
      <c r="E19" s="3" t="str">
        <f t="shared" si="0"/>
        <v>1500_1000_950</v>
      </c>
      <c r="F19" s="3">
        <v>14236</v>
      </c>
      <c r="G19" s="3">
        <v>190371</v>
      </c>
      <c r="H19" s="3">
        <v>204607</v>
      </c>
      <c r="J19" s="18"/>
      <c r="K19" s="18"/>
      <c r="L19" s="18"/>
      <c r="S19" s="25">
        <v>1400</v>
      </c>
      <c r="T19" s="23">
        <v>10328.571428571428</v>
      </c>
      <c r="U19" s="23">
        <v>38625.999999999993</v>
      </c>
      <c r="V19" s="26">
        <v>48954.57142857142</v>
      </c>
      <c r="X19" s="48" t="s">
        <v>62</v>
      </c>
      <c r="Y19" s="21">
        <f>SUM(Y16:Y18)</f>
        <v>1</v>
      </c>
      <c r="Z19" s="129"/>
      <c r="AB19" s="25">
        <v>1400</v>
      </c>
      <c r="AC19" s="23">
        <v>4693.7142857142853</v>
      </c>
      <c r="AD19" s="23">
        <v>38500</v>
      </c>
      <c r="AE19" s="26">
        <v>43193.714285714283</v>
      </c>
    </row>
    <row r="20" spans="2:31" ht="15.75" thickBot="1" x14ac:dyDescent="0.3">
      <c r="B20" s="17">
        <v>1600</v>
      </c>
      <c r="C20" s="17">
        <v>1050</v>
      </c>
      <c r="D20" s="17">
        <v>1000</v>
      </c>
      <c r="E20" s="3" t="str">
        <f t="shared" si="0"/>
        <v>1600_1050_1000</v>
      </c>
      <c r="F20" s="3">
        <v>14236</v>
      </c>
      <c r="G20" s="3">
        <v>201407</v>
      </c>
      <c r="H20" s="3">
        <v>215643</v>
      </c>
      <c r="J20" s="18"/>
      <c r="K20" s="18"/>
      <c r="L20" s="18"/>
      <c r="S20" s="25">
        <v>1500</v>
      </c>
      <c r="T20" s="23">
        <v>9389.6103896103887</v>
      </c>
      <c r="U20" s="23">
        <v>42488.6</v>
      </c>
      <c r="V20" s="26">
        <v>51878.210389610387</v>
      </c>
      <c r="AB20" s="25">
        <v>1500</v>
      </c>
      <c r="AC20" s="23">
        <v>4380.8</v>
      </c>
      <c r="AD20" s="23">
        <v>41250</v>
      </c>
      <c r="AE20" s="26">
        <v>45630.8</v>
      </c>
    </row>
    <row r="21" spans="2:31" x14ac:dyDescent="0.25">
      <c r="B21" s="17">
        <v>1700</v>
      </c>
      <c r="C21" s="17">
        <v>1100</v>
      </c>
      <c r="D21" s="17">
        <v>1050</v>
      </c>
      <c r="E21" s="3" t="str">
        <f t="shared" si="0"/>
        <v>1700_1100_1050</v>
      </c>
      <c r="F21" s="3">
        <v>14236</v>
      </c>
      <c r="G21" s="3">
        <v>212443</v>
      </c>
      <c r="H21" s="3">
        <v>226679</v>
      </c>
      <c r="J21" s="18"/>
      <c r="K21" s="18"/>
      <c r="L21" s="18"/>
      <c r="S21" s="25">
        <v>1600</v>
      </c>
      <c r="T21" s="23">
        <v>8981.3664596273284</v>
      </c>
      <c r="U21" s="23">
        <v>44419.899999999994</v>
      </c>
      <c r="V21" s="26">
        <v>53401.266459627324</v>
      </c>
      <c r="X21" s="46" t="s">
        <v>143</v>
      </c>
      <c r="Y21" s="86">
        <f>MIN(V6:V65)</f>
        <v>39970.142857142855</v>
      </c>
      <c r="AB21" s="25">
        <v>1600</v>
      </c>
      <c r="AC21" s="23">
        <v>4107</v>
      </c>
      <c r="AD21" s="23">
        <v>44000</v>
      </c>
      <c r="AE21" s="26">
        <v>48107</v>
      </c>
    </row>
    <row r="22" spans="2:31" ht="15.75" thickBot="1" x14ac:dyDescent="0.3">
      <c r="B22" s="17">
        <v>1800</v>
      </c>
      <c r="C22" s="17">
        <v>1150</v>
      </c>
      <c r="D22" s="17">
        <v>1100</v>
      </c>
      <c r="E22" s="3" t="str">
        <f t="shared" si="0"/>
        <v>1800_1150_1100</v>
      </c>
      <c r="F22" s="3">
        <v>14236</v>
      </c>
      <c r="G22" s="3">
        <v>223479</v>
      </c>
      <c r="H22" s="3">
        <v>237715</v>
      </c>
      <c r="J22" s="18"/>
      <c r="K22" s="18"/>
      <c r="L22" s="18"/>
      <c r="S22" s="25">
        <v>1700</v>
      </c>
      <c r="T22" s="23">
        <v>8262.8571428571431</v>
      </c>
      <c r="U22" s="23">
        <v>48282.5</v>
      </c>
      <c r="V22" s="26">
        <v>56545.357142857145</v>
      </c>
      <c r="X22" s="48" t="s">
        <v>144</v>
      </c>
      <c r="Y22" s="45">
        <f>INDEX($S$6:$V$65,MATCH(Y21,$V$6:$V$65,0),1)</f>
        <v>700</v>
      </c>
      <c r="AB22" s="25">
        <v>1700</v>
      </c>
      <c r="AC22" s="23">
        <v>3865.4117647058824</v>
      </c>
      <c r="AD22" s="23">
        <v>46750</v>
      </c>
      <c r="AE22" s="26">
        <v>50615.411764705881</v>
      </c>
    </row>
    <row r="23" spans="2:31" x14ac:dyDescent="0.25">
      <c r="B23" s="17">
        <v>1900</v>
      </c>
      <c r="C23" s="17">
        <v>1200</v>
      </c>
      <c r="D23" s="17">
        <v>1150</v>
      </c>
      <c r="E23" s="3" t="str">
        <f t="shared" si="0"/>
        <v>1900_1200_1150</v>
      </c>
      <c r="F23" s="3">
        <v>14236</v>
      </c>
      <c r="G23" s="3">
        <v>234515</v>
      </c>
      <c r="H23" s="3">
        <v>248751</v>
      </c>
      <c r="J23" s="18"/>
      <c r="K23" s="18"/>
      <c r="L23" s="18"/>
      <c r="S23" s="25">
        <v>1800</v>
      </c>
      <c r="T23" s="23">
        <v>7945.0549450549443</v>
      </c>
      <c r="U23" s="23">
        <v>50213.799999999996</v>
      </c>
      <c r="V23" s="26">
        <v>58158.85494505494</v>
      </c>
      <c r="AB23" s="25">
        <v>1800</v>
      </c>
      <c r="AC23" s="23">
        <v>3650.6666666666665</v>
      </c>
      <c r="AD23" s="23">
        <v>49500</v>
      </c>
      <c r="AE23" s="26">
        <v>53150.666666666664</v>
      </c>
    </row>
    <row r="24" spans="2:31" x14ac:dyDescent="0.25">
      <c r="B24" s="17">
        <v>2000</v>
      </c>
      <c r="C24" s="17">
        <v>1250</v>
      </c>
      <c r="D24" s="17">
        <v>1200</v>
      </c>
      <c r="E24" s="3" t="str">
        <f t="shared" si="0"/>
        <v>2000_1250_1200</v>
      </c>
      <c r="F24" s="3">
        <v>14236</v>
      </c>
      <c r="G24" s="3">
        <v>245551</v>
      </c>
      <c r="H24" s="3">
        <v>259787</v>
      </c>
      <c r="J24" s="18"/>
      <c r="K24" s="18"/>
      <c r="L24" s="18"/>
      <c r="S24" s="25">
        <v>1900</v>
      </c>
      <c r="T24" s="23">
        <v>7377.5510204081629</v>
      </c>
      <c r="U24" s="23">
        <v>54076.4</v>
      </c>
      <c r="V24" s="26">
        <v>61453.951020408167</v>
      </c>
      <c r="AB24" s="25">
        <v>1900</v>
      </c>
      <c r="AC24" s="23">
        <v>3458.5263157894733</v>
      </c>
      <c r="AD24" s="23">
        <v>52250</v>
      </c>
      <c r="AE24" s="26">
        <v>55708.526315789473</v>
      </c>
    </row>
    <row r="25" spans="2:31" x14ac:dyDescent="0.25">
      <c r="B25">
        <v>2100</v>
      </c>
      <c r="C25">
        <v>1300</v>
      </c>
      <c r="D25">
        <v>1250</v>
      </c>
      <c r="E25" s="3" t="str">
        <f t="shared" si="0"/>
        <v>2100_1300_1250</v>
      </c>
      <c r="F25" s="3">
        <v>14236</v>
      </c>
      <c r="G25" s="3">
        <v>256587</v>
      </c>
      <c r="H25" s="3">
        <v>270823</v>
      </c>
      <c r="J25" s="18"/>
      <c r="K25" s="18"/>
      <c r="L25" s="18"/>
      <c r="S25" s="25">
        <v>2000</v>
      </c>
      <c r="T25" s="23">
        <v>7123.152709359606</v>
      </c>
      <c r="U25" s="23">
        <v>56007.700000000004</v>
      </c>
      <c r="V25" s="26">
        <v>63130.852709359613</v>
      </c>
      <c r="AB25" s="25">
        <v>2000</v>
      </c>
      <c r="AC25" s="23">
        <v>3285.6</v>
      </c>
      <c r="AD25" s="23">
        <v>55000</v>
      </c>
      <c r="AE25" s="26">
        <v>58285.599999999999</v>
      </c>
    </row>
    <row r="26" spans="2:31" x14ac:dyDescent="0.25">
      <c r="B26">
        <v>2200</v>
      </c>
      <c r="C26">
        <v>1350</v>
      </c>
      <c r="D26">
        <v>1300</v>
      </c>
      <c r="E26" s="3" t="str">
        <f t="shared" si="0"/>
        <v>2200_1350_1300</v>
      </c>
      <c r="F26" s="3">
        <v>14236</v>
      </c>
      <c r="G26" s="3">
        <v>267623</v>
      </c>
      <c r="H26" s="3">
        <v>281859</v>
      </c>
      <c r="J26" s="18"/>
      <c r="K26" s="18"/>
      <c r="L26" s="18"/>
      <c r="S26" s="25">
        <v>2100</v>
      </c>
      <c r="T26" s="23">
        <v>6885.7142857142862</v>
      </c>
      <c r="U26" s="23">
        <v>57939</v>
      </c>
      <c r="V26" s="26">
        <v>64824.71428571429</v>
      </c>
      <c r="AB26" s="25">
        <v>2100</v>
      </c>
      <c r="AC26" s="23">
        <v>3129.1428571428569</v>
      </c>
      <c r="AD26" s="23">
        <v>57750</v>
      </c>
      <c r="AE26" s="26">
        <v>60879.142857142855</v>
      </c>
    </row>
    <row r="27" spans="2:31" x14ac:dyDescent="0.25">
      <c r="B27">
        <v>2300</v>
      </c>
      <c r="C27">
        <v>1400</v>
      </c>
      <c r="D27">
        <v>1350</v>
      </c>
      <c r="E27" s="3" t="str">
        <f t="shared" si="0"/>
        <v>2300_1400_1350</v>
      </c>
      <c r="F27" s="3">
        <v>14236</v>
      </c>
      <c r="G27" s="3">
        <v>278659</v>
      </c>
      <c r="H27" s="3">
        <v>292895</v>
      </c>
      <c r="J27" s="18"/>
      <c r="K27" s="18"/>
      <c r="L27" s="18"/>
      <c r="S27" s="25">
        <v>2200</v>
      </c>
      <c r="T27" s="23">
        <v>6455.3571428571422</v>
      </c>
      <c r="U27" s="23">
        <v>61801.600000000006</v>
      </c>
      <c r="V27" s="26">
        <v>68256.957142857151</v>
      </c>
      <c r="AB27" s="25">
        <v>2200</v>
      </c>
      <c r="AC27" s="23">
        <v>2986.9090909090905</v>
      </c>
      <c r="AD27" s="23">
        <v>60500</v>
      </c>
      <c r="AE27" s="26">
        <v>63486.909090909088</v>
      </c>
    </row>
    <row r="28" spans="2:31" x14ac:dyDescent="0.25">
      <c r="B28">
        <v>2400</v>
      </c>
      <c r="C28">
        <v>1450</v>
      </c>
      <c r="D28">
        <v>1400</v>
      </c>
      <c r="E28" s="3" t="str">
        <f t="shared" si="0"/>
        <v>2400_1450_1400</v>
      </c>
      <c r="F28" s="3">
        <v>11498</v>
      </c>
      <c r="G28" s="3">
        <v>223479</v>
      </c>
      <c r="H28" s="3">
        <v>234977</v>
      </c>
      <c r="J28" s="18"/>
      <c r="K28" s="18"/>
      <c r="L28" s="18"/>
      <c r="S28" s="25">
        <v>2300</v>
      </c>
      <c r="T28" s="23">
        <v>6259.7402597402597</v>
      </c>
      <c r="U28" s="23">
        <v>63732.9</v>
      </c>
      <c r="V28" s="26">
        <v>69992.640259740263</v>
      </c>
      <c r="AB28" s="25">
        <v>2300</v>
      </c>
      <c r="AC28" s="23">
        <v>2857.0434782608695</v>
      </c>
      <c r="AD28" s="23">
        <v>63250</v>
      </c>
      <c r="AE28" s="26">
        <v>66107.043478260865</v>
      </c>
    </row>
    <row r="29" spans="2:31" ht="15.75" thickBot="1" x14ac:dyDescent="0.3">
      <c r="J29" s="18"/>
      <c r="K29" s="18"/>
      <c r="L29" s="18"/>
      <c r="S29" s="25">
        <v>2400</v>
      </c>
      <c r="T29" s="23">
        <v>5902.0408163265311</v>
      </c>
      <c r="U29" s="23">
        <v>67595.5</v>
      </c>
      <c r="V29" s="26">
        <v>73497.540816326538</v>
      </c>
      <c r="AB29" s="27">
        <v>2400</v>
      </c>
      <c r="AC29" s="28">
        <v>2738</v>
      </c>
      <c r="AD29" s="28">
        <v>66000</v>
      </c>
      <c r="AE29" s="29">
        <v>68738</v>
      </c>
    </row>
    <row r="30" spans="2:31" x14ac:dyDescent="0.25">
      <c r="J30" s="18"/>
      <c r="K30" s="18"/>
      <c r="L30" s="18"/>
      <c r="S30" s="25">
        <v>2500</v>
      </c>
      <c r="T30" s="23">
        <v>5738.0952380952376</v>
      </c>
      <c r="U30" s="23">
        <v>69526.8</v>
      </c>
      <c r="V30" s="26">
        <v>75264.89523809524</v>
      </c>
    </row>
    <row r="31" spans="2:31" x14ac:dyDescent="0.25">
      <c r="J31" s="18"/>
      <c r="K31" s="18"/>
      <c r="L31" s="18"/>
      <c r="S31" s="25">
        <v>2600</v>
      </c>
      <c r="T31" s="23">
        <v>5436.0902255639103</v>
      </c>
      <c r="U31" s="23">
        <v>73389.399999999994</v>
      </c>
      <c r="V31" s="26">
        <v>78825.490225563903</v>
      </c>
    </row>
    <row r="32" spans="2:31" x14ac:dyDescent="0.25">
      <c r="J32" s="18"/>
      <c r="K32" s="18"/>
      <c r="L32" s="18"/>
      <c r="S32" s="25">
        <v>2700</v>
      </c>
      <c r="T32" s="23">
        <v>5296.7032967032974</v>
      </c>
      <c r="U32" s="23">
        <v>75320.7</v>
      </c>
      <c r="V32" s="26">
        <v>80617.403296703298</v>
      </c>
    </row>
    <row r="33" spans="11:22" x14ac:dyDescent="0.25">
      <c r="K33" s="18"/>
      <c r="L33" s="18"/>
      <c r="S33" s="25">
        <v>2800</v>
      </c>
      <c r="T33" s="23">
        <v>5164.2857142857138</v>
      </c>
      <c r="U33" s="23">
        <v>77251.999999999985</v>
      </c>
      <c r="V33" s="26">
        <v>82416.285714285696</v>
      </c>
    </row>
    <row r="34" spans="11:22" x14ac:dyDescent="0.25">
      <c r="K34" s="18"/>
      <c r="L34" s="18"/>
      <c r="S34" s="25">
        <v>2900</v>
      </c>
      <c r="T34" s="23">
        <v>4918.3673469387759</v>
      </c>
      <c r="U34" s="23">
        <v>81114.599999999991</v>
      </c>
      <c r="V34" s="26">
        <v>86032.967346938764</v>
      </c>
    </row>
    <row r="35" spans="11:22" x14ac:dyDescent="0.25">
      <c r="K35" s="18"/>
      <c r="L35" s="18"/>
      <c r="S35" s="25">
        <v>3000</v>
      </c>
      <c r="T35" s="23">
        <v>4803.9867109634552</v>
      </c>
      <c r="U35" s="23">
        <v>83045.899999999994</v>
      </c>
      <c r="V35" s="26">
        <v>87849.886710963445</v>
      </c>
    </row>
    <row r="36" spans="11:22" x14ac:dyDescent="0.25">
      <c r="K36" s="18"/>
      <c r="L36" s="18"/>
      <c r="S36" s="25">
        <v>3100</v>
      </c>
      <c r="T36" s="23">
        <v>4590.4761904761899</v>
      </c>
      <c r="U36" s="23">
        <v>86908.5</v>
      </c>
      <c r="V36" s="26">
        <v>91498.976190476184</v>
      </c>
    </row>
    <row r="37" spans="11:22" x14ac:dyDescent="0.25">
      <c r="K37" s="18"/>
      <c r="L37" s="18"/>
      <c r="S37" s="25">
        <v>3200</v>
      </c>
      <c r="T37" s="23">
        <v>4490.6832298136642</v>
      </c>
      <c r="U37" s="23">
        <v>88839.799999999988</v>
      </c>
      <c r="V37" s="26">
        <v>93330.483229813646</v>
      </c>
    </row>
    <row r="38" spans="11:22" x14ac:dyDescent="0.25">
      <c r="K38" s="18"/>
      <c r="S38" s="25">
        <v>3300</v>
      </c>
      <c r="T38" s="23">
        <v>4303.5714285714284</v>
      </c>
      <c r="U38" s="23">
        <v>92702.399999999994</v>
      </c>
      <c r="V38" s="26">
        <v>97005.971428571429</v>
      </c>
    </row>
    <row r="39" spans="11:22" x14ac:dyDescent="0.25">
      <c r="K39" s="18"/>
      <c r="S39" s="25">
        <v>3400</v>
      </c>
      <c r="T39" s="23">
        <v>4215.7434402332365</v>
      </c>
      <c r="U39" s="23">
        <v>94633.7</v>
      </c>
      <c r="V39" s="26">
        <v>98849.443440233241</v>
      </c>
    </row>
    <row r="40" spans="11:22" x14ac:dyDescent="0.25">
      <c r="K40" s="18"/>
      <c r="S40" s="25">
        <v>3500</v>
      </c>
      <c r="T40" s="23">
        <v>4131.4285714285716</v>
      </c>
      <c r="U40" s="23">
        <v>96565</v>
      </c>
      <c r="V40" s="26">
        <v>100696.42857142857</v>
      </c>
    </row>
    <row r="41" spans="11:22" x14ac:dyDescent="0.25">
      <c r="K41" s="18"/>
      <c r="S41" s="25">
        <v>3600</v>
      </c>
      <c r="T41" s="23">
        <v>3972.5274725274721</v>
      </c>
      <c r="U41" s="23">
        <v>100427.59999999999</v>
      </c>
      <c r="V41" s="26">
        <v>104400.12747252747</v>
      </c>
    </row>
    <row r="42" spans="11:22" x14ac:dyDescent="0.25">
      <c r="K42" s="18"/>
      <c r="S42" s="25">
        <v>3700</v>
      </c>
      <c r="T42" s="23">
        <v>3897.5741239892182</v>
      </c>
      <c r="U42" s="23">
        <v>102358.9</v>
      </c>
      <c r="V42" s="26">
        <v>106256.47412398922</v>
      </c>
    </row>
    <row r="43" spans="11:22" x14ac:dyDescent="0.25">
      <c r="K43" s="18"/>
      <c r="S43" s="25">
        <v>3800</v>
      </c>
      <c r="T43" s="23">
        <v>3755.8441558441559</v>
      </c>
      <c r="U43" s="23">
        <v>106221.5</v>
      </c>
      <c r="V43" s="26">
        <v>109977.34415584416</v>
      </c>
    </row>
    <row r="44" spans="11:22" x14ac:dyDescent="0.25">
      <c r="S44" s="25">
        <v>3900</v>
      </c>
      <c r="T44" s="23">
        <v>3688.7755102040815</v>
      </c>
      <c r="U44" s="23">
        <v>108152.8</v>
      </c>
      <c r="V44" s="26">
        <v>111841.57551020409</v>
      </c>
    </row>
    <row r="45" spans="11:22" x14ac:dyDescent="0.25">
      <c r="S45" s="25">
        <v>4000</v>
      </c>
      <c r="T45" s="23">
        <v>3561.576354679803</v>
      </c>
      <c r="U45" s="23">
        <v>112015.40000000001</v>
      </c>
      <c r="V45" s="26">
        <v>115576.97635467981</v>
      </c>
    </row>
    <row r="46" spans="11:22" x14ac:dyDescent="0.25">
      <c r="S46" s="25">
        <v>4100</v>
      </c>
      <c r="T46" s="23">
        <v>3501.2106537530267</v>
      </c>
      <c r="U46" s="23">
        <v>113946.70000000001</v>
      </c>
      <c r="V46" s="26">
        <v>117447.91065375303</v>
      </c>
    </row>
    <row r="47" spans="11:22" x14ac:dyDescent="0.25">
      <c r="S47" s="25">
        <v>4200</v>
      </c>
      <c r="T47" s="23">
        <v>3442.8571428571431</v>
      </c>
      <c r="U47" s="23">
        <v>115878</v>
      </c>
      <c r="V47" s="26">
        <v>119320.85714285714</v>
      </c>
    </row>
    <row r="48" spans="11:22" x14ac:dyDescent="0.25">
      <c r="S48" s="25">
        <v>4300</v>
      </c>
      <c r="T48" s="23">
        <v>3331.7972350230416</v>
      </c>
      <c r="U48" s="23">
        <v>119740.6</v>
      </c>
      <c r="V48" s="26">
        <v>123072.39723502305</v>
      </c>
    </row>
    <row r="49" spans="19:22" x14ac:dyDescent="0.25">
      <c r="S49" s="25">
        <v>4400</v>
      </c>
      <c r="T49" s="23">
        <v>3278.9115646258501</v>
      </c>
      <c r="U49" s="23">
        <v>121671.90000000001</v>
      </c>
      <c r="V49" s="26">
        <v>124950.81156462585</v>
      </c>
    </row>
    <row r="50" spans="19:22" x14ac:dyDescent="0.25">
      <c r="S50" s="25">
        <v>4500</v>
      </c>
      <c r="T50" s="23">
        <v>3178.0219780219782</v>
      </c>
      <c r="U50" s="23">
        <v>125534.5</v>
      </c>
      <c r="V50" s="26">
        <v>128712.52197802198</v>
      </c>
    </row>
    <row r="51" spans="19:22" x14ac:dyDescent="0.25">
      <c r="S51" s="25">
        <v>4600</v>
      </c>
      <c r="T51" s="23">
        <v>3129.8701298701299</v>
      </c>
      <c r="U51" s="23">
        <v>127465.8</v>
      </c>
      <c r="V51" s="26">
        <v>130595.67012987014</v>
      </c>
    </row>
    <row r="52" spans="19:22" x14ac:dyDescent="0.25">
      <c r="S52" s="25">
        <v>4700</v>
      </c>
      <c r="T52" s="23">
        <v>3037.8151260504201</v>
      </c>
      <c r="U52" s="23">
        <v>131328.4</v>
      </c>
      <c r="V52" s="26">
        <v>134366.2151260504</v>
      </c>
    </row>
    <row r="53" spans="19:22" x14ac:dyDescent="0.25">
      <c r="S53" s="25">
        <v>4800</v>
      </c>
      <c r="T53" s="23">
        <v>2993.788819875776</v>
      </c>
      <c r="U53" s="23">
        <v>133259.70000000001</v>
      </c>
      <c r="V53" s="26">
        <v>136253.48881987578</v>
      </c>
    </row>
    <row r="54" spans="19:22" x14ac:dyDescent="0.25">
      <c r="S54" s="25">
        <v>4900</v>
      </c>
      <c r="T54" s="23">
        <v>2951.0204081632655</v>
      </c>
      <c r="U54" s="23">
        <v>135191</v>
      </c>
      <c r="V54" s="26">
        <v>138142.02040816325</v>
      </c>
    </row>
    <row r="55" spans="19:22" x14ac:dyDescent="0.25">
      <c r="S55" s="25">
        <v>5000</v>
      </c>
      <c r="T55" s="23">
        <v>2869.0476190476188</v>
      </c>
      <c r="U55" s="23">
        <v>139053.6</v>
      </c>
      <c r="V55" s="26">
        <v>141922.64761904764</v>
      </c>
    </row>
    <row r="56" spans="19:22" x14ac:dyDescent="0.25">
      <c r="S56" s="25">
        <v>5100</v>
      </c>
      <c r="T56" s="23">
        <v>2829.7455968688846</v>
      </c>
      <c r="U56" s="23">
        <v>140984.9</v>
      </c>
      <c r="V56" s="26">
        <v>143814.64559686888</v>
      </c>
    </row>
    <row r="57" spans="19:22" x14ac:dyDescent="0.25">
      <c r="S57" s="25">
        <v>5200</v>
      </c>
      <c r="T57" s="23">
        <v>2754.2857142857142</v>
      </c>
      <c r="U57" s="23">
        <v>144847.49999999997</v>
      </c>
      <c r="V57" s="26">
        <v>147601.78571428568</v>
      </c>
    </row>
    <row r="58" spans="19:22" x14ac:dyDescent="0.25">
      <c r="S58" s="25">
        <v>5300</v>
      </c>
      <c r="T58" s="23">
        <v>2718.0451127819551</v>
      </c>
      <c r="U58" s="23">
        <v>146778.79999999999</v>
      </c>
      <c r="V58" s="26">
        <v>149496.84511278194</v>
      </c>
    </row>
    <row r="59" spans="19:22" x14ac:dyDescent="0.25">
      <c r="S59" s="25">
        <v>5400</v>
      </c>
      <c r="T59" s="23">
        <v>2648.3516483516487</v>
      </c>
      <c r="U59" s="23">
        <v>150641.4</v>
      </c>
      <c r="V59" s="26">
        <v>153289.75164835164</v>
      </c>
    </row>
    <row r="60" spans="19:22" x14ac:dyDescent="0.25">
      <c r="S60" s="25">
        <v>5500</v>
      </c>
      <c r="T60" s="23">
        <v>2614.8282097649185</v>
      </c>
      <c r="U60" s="23">
        <v>152572.69999999998</v>
      </c>
      <c r="V60" s="26">
        <v>155187.52820976489</v>
      </c>
    </row>
    <row r="61" spans="19:22" x14ac:dyDescent="0.25">
      <c r="S61" s="25">
        <v>5600</v>
      </c>
      <c r="T61" s="23">
        <v>2582.1428571428569</v>
      </c>
      <c r="U61" s="23">
        <v>154503.99999999997</v>
      </c>
      <c r="V61" s="26">
        <v>157086.14285714284</v>
      </c>
    </row>
    <row r="62" spans="19:22" x14ac:dyDescent="0.25">
      <c r="S62" s="25">
        <v>5700</v>
      </c>
      <c r="T62" s="23">
        <v>2519.1637630662021</v>
      </c>
      <c r="U62" s="23">
        <v>158366.59999999998</v>
      </c>
      <c r="V62" s="26">
        <v>160885.76376306618</v>
      </c>
    </row>
    <row r="63" spans="19:22" x14ac:dyDescent="0.25">
      <c r="S63" s="25">
        <v>5800</v>
      </c>
      <c r="T63" s="23">
        <v>2488.8123924268502</v>
      </c>
      <c r="U63" s="23">
        <v>160297.9</v>
      </c>
      <c r="V63" s="26">
        <v>162786.71239242685</v>
      </c>
    </row>
    <row r="64" spans="19:22" x14ac:dyDescent="0.25">
      <c r="S64" s="25">
        <v>5900</v>
      </c>
      <c r="T64" s="23">
        <v>2430.252100840336</v>
      </c>
      <c r="U64" s="23">
        <v>164160.5</v>
      </c>
      <c r="V64" s="26">
        <v>166590.75210084033</v>
      </c>
    </row>
    <row r="65" spans="19:22" ht="15.75" thickBot="1" x14ac:dyDescent="0.3">
      <c r="S65" s="27">
        <v>6000</v>
      </c>
      <c r="T65" s="28">
        <v>2401.9933554817276</v>
      </c>
      <c r="U65" s="28">
        <v>166091.79999999999</v>
      </c>
      <c r="V65" s="29">
        <v>168493.79335548173</v>
      </c>
    </row>
  </sheetData>
  <mergeCells count="8">
    <mergeCell ref="H2:H3"/>
    <mergeCell ref="G2:G3"/>
    <mergeCell ref="F2:F3"/>
    <mergeCell ref="E2:E3"/>
    <mergeCell ref="B2:D2"/>
    <mergeCell ref="Z16:Z19"/>
    <mergeCell ref="AB3:AE3"/>
    <mergeCell ref="S3:V3"/>
  </mergeCells>
  <phoneticPr fontId="1" type="noConversion"/>
  <conditionalFormatting sqref="AB6:AE29">
    <cfRule type="expression" dxfId="1" priority="4">
      <formula>$AE6=MIN($AE$6:$AE$29)</formula>
    </cfRule>
  </conditionalFormatting>
  <conditionalFormatting sqref="S6:V65">
    <cfRule type="expression" dxfId="0" priority="1">
      <formula>$V6=MIN($V$6:$V$65)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workbookViewId="0">
      <selection activeCell="F3" sqref="F3:I9"/>
    </sheetView>
  </sheetViews>
  <sheetFormatPr defaultRowHeight="15" x14ac:dyDescent="0.25"/>
  <cols>
    <col min="1" max="1" width="27.85546875" bestFit="1" customWidth="1"/>
    <col min="3" max="3" width="9.140625" style="82"/>
    <col min="4" max="4" width="3.7109375" bestFit="1" customWidth="1"/>
  </cols>
  <sheetData>
    <row r="1" spans="1:9" ht="15.75" thickBot="1" x14ac:dyDescent="0.3">
      <c r="A1" s="130" t="str">
        <f>Basic_Data!B4&amp;" ROP"</f>
        <v>Enclosure + Accessories ROP</v>
      </c>
      <c r="B1" s="132"/>
      <c r="E1" s="109" t="s">
        <v>117</v>
      </c>
      <c r="F1" s="139" t="s">
        <v>116</v>
      </c>
      <c r="G1" s="134"/>
      <c r="H1" s="134"/>
      <c r="I1" s="135"/>
    </row>
    <row r="2" spans="1:9" s="22" customFormat="1" ht="15.75" thickBot="1" x14ac:dyDescent="0.3">
      <c r="A2" s="42"/>
      <c r="B2" s="44"/>
      <c r="C2" s="82"/>
      <c r="E2" s="110">
        <f>B7</f>
        <v>515</v>
      </c>
      <c r="F2" s="107">
        <v>3</v>
      </c>
      <c r="G2" s="102">
        <v>4</v>
      </c>
      <c r="H2" s="102">
        <v>5</v>
      </c>
      <c r="I2" s="103">
        <v>6</v>
      </c>
    </row>
    <row r="3" spans="1:9" x14ac:dyDescent="0.25">
      <c r="A3" s="85" t="s">
        <v>116</v>
      </c>
      <c r="B3" s="86">
        <v>4</v>
      </c>
      <c r="C3" s="3"/>
      <c r="D3" s="136" t="s">
        <v>129</v>
      </c>
      <c r="E3" s="108">
        <v>50</v>
      </c>
      <c r="F3" s="104">
        <f t="dataTable" ref="F3:I9" dt2D="1" dtr="1" r1="B3" r2="B5"/>
        <v>156</v>
      </c>
      <c r="G3" s="24">
        <v>206</v>
      </c>
      <c r="H3" s="24">
        <v>256</v>
      </c>
      <c r="I3" s="86">
        <v>306</v>
      </c>
    </row>
    <row r="4" spans="1:9" x14ac:dyDescent="0.25">
      <c r="A4" s="87" t="s">
        <v>118</v>
      </c>
      <c r="B4" s="26">
        <f>0.12*B5</f>
        <v>15</v>
      </c>
      <c r="C4" s="3"/>
      <c r="D4" s="137"/>
      <c r="E4" s="105">
        <v>75</v>
      </c>
      <c r="F4" s="25">
        <v>234</v>
      </c>
      <c r="G4" s="23">
        <v>309</v>
      </c>
      <c r="H4" s="23">
        <v>384</v>
      </c>
      <c r="I4" s="26">
        <v>459</v>
      </c>
    </row>
    <row r="5" spans="1:9" ht="15.75" thickBot="1" x14ac:dyDescent="0.3">
      <c r="A5" s="88" t="s">
        <v>128</v>
      </c>
      <c r="B5" s="29">
        <f>500/4</f>
        <v>125</v>
      </c>
      <c r="C5" s="3"/>
      <c r="D5" s="137"/>
      <c r="E5" s="105">
        <v>100</v>
      </c>
      <c r="F5" s="25">
        <v>312</v>
      </c>
      <c r="G5" s="23">
        <v>412</v>
      </c>
      <c r="H5" s="23">
        <v>512</v>
      </c>
      <c r="I5" s="26">
        <v>612</v>
      </c>
    </row>
    <row r="6" spans="1:9" ht="15.75" thickBot="1" x14ac:dyDescent="0.3">
      <c r="A6" s="42"/>
      <c r="B6" s="44"/>
      <c r="D6" s="137"/>
      <c r="E6" s="105">
        <v>125</v>
      </c>
      <c r="F6" s="25">
        <v>390</v>
      </c>
      <c r="G6" s="23">
        <v>515</v>
      </c>
      <c r="H6" s="23">
        <v>640</v>
      </c>
      <c r="I6" s="26">
        <v>765</v>
      </c>
    </row>
    <row r="7" spans="1:9" ht="15.75" thickBot="1" x14ac:dyDescent="0.3">
      <c r="A7" s="89" t="s">
        <v>117</v>
      </c>
      <c r="B7" s="90">
        <f>ROUNDUP(B5*B3+B4,0)</f>
        <v>515</v>
      </c>
      <c r="D7" s="137"/>
      <c r="E7" s="105">
        <v>150</v>
      </c>
      <c r="F7" s="25">
        <v>468</v>
      </c>
      <c r="G7" s="23">
        <v>618</v>
      </c>
      <c r="H7" s="23">
        <v>768</v>
      </c>
      <c r="I7" s="26">
        <v>918</v>
      </c>
    </row>
    <row r="8" spans="1:9" x14ac:dyDescent="0.25">
      <c r="D8" s="137"/>
      <c r="E8" s="105">
        <v>175</v>
      </c>
      <c r="F8" s="25">
        <v>546</v>
      </c>
      <c r="G8" s="23">
        <v>721</v>
      </c>
      <c r="H8" s="23">
        <v>896</v>
      </c>
      <c r="I8" s="26">
        <v>1071</v>
      </c>
    </row>
    <row r="9" spans="1:9" ht="15.75" thickBot="1" x14ac:dyDescent="0.3">
      <c r="A9" t="s">
        <v>67</v>
      </c>
      <c r="B9" s="3">
        <v>100</v>
      </c>
      <c r="D9" s="138"/>
      <c r="E9" s="106">
        <v>200</v>
      </c>
      <c r="F9" s="27">
        <v>624</v>
      </c>
      <c r="G9" s="28">
        <v>824</v>
      </c>
      <c r="H9" s="28">
        <v>1024</v>
      </c>
      <c r="I9" s="29">
        <v>1224</v>
      </c>
    </row>
    <row r="11" spans="1:9" x14ac:dyDescent="0.25">
      <c r="F11" t="str">
        <f>"Lead Time "&amp;F2&amp;" Wks"</f>
        <v>Lead Time 3 Wks</v>
      </c>
      <c r="G11" s="82" t="str">
        <f t="shared" ref="G11:I11" si="0">"Lead Time "&amp;G2&amp;" Wks"</f>
        <v>Lead Time 4 Wks</v>
      </c>
      <c r="H11" s="82" t="str">
        <f t="shared" si="0"/>
        <v>Lead Time 5 Wks</v>
      </c>
      <c r="I11" s="82" t="str">
        <f t="shared" si="0"/>
        <v>Lead Time 6 Wks</v>
      </c>
    </row>
    <row r="13" spans="1:9" x14ac:dyDescent="0.25">
      <c r="F13" t="s">
        <v>130</v>
      </c>
    </row>
    <row r="15" spans="1:9" x14ac:dyDescent="0.25">
      <c r="E15" t="str">
        <f>"Demand @ "&amp;E3</f>
        <v>Demand @ 50</v>
      </c>
    </row>
    <row r="16" spans="1:9" x14ac:dyDescent="0.25">
      <c r="E16" s="84" t="str">
        <f t="shared" ref="E16:E21" si="1">"Demand @ "&amp;E4</f>
        <v>Demand @ 75</v>
      </c>
    </row>
    <row r="17" spans="5:5" x14ac:dyDescent="0.25">
      <c r="E17" s="84" t="str">
        <f t="shared" si="1"/>
        <v>Demand @ 100</v>
      </c>
    </row>
    <row r="18" spans="5:5" x14ac:dyDescent="0.25">
      <c r="E18" s="84" t="str">
        <f t="shared" si="1"/>
        <v>Demand @ 125</v>
      </c>
    </row>
    <row r="19" spans="5:5" x14ac:dyDescent="0.25">
      <c r="E19" s="84" t="str">
        <f t="shared" si="1"/>
        <v>Demand @ 150</v>
      </c>
    </row>
    <row r="20" spans="5:5" x14ac:dyDescent="0.25">
      <c r="E20" s="84" t="str">
        <f t="shared" si="1"/>
        <v>Demand @ 175</v>
      </c>
    </row>
    <row r="21" spans="5:5" x14ac:dyDescent="0.25">
      <c r="E21" s="84" t="str">
        <f t="shared" si="1"/>
        <v>Demand @ 200</v>
      </c>
    </row>
    <row r="22" spans="5:5" x14ac:dyDescent="0.25">
      <c r="E22" s="83"/>
    </row>
  </sheetData>
  <mergeCells count="3">
    <mergeCell ref="D3:D9"/>
    <mergeCell ref="F1:I1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Q27" sqref="Q27"/>
    </sheetView>
  </sheetViews>
  <sheetFormatPr defaultRowHeight="15" x14ac:dyDescent="0.25"/>
  <cols>
    <col min="2" max="2" width="20.7109375" style="101" customWidth="1"/>
    <col min="3" max="3" width="11.7109375" bestFit="1" customWidth="1"/>
    <col min="4" max="4" width="11.7109375" style="49" customWidth="1"/>
    <col min="5" max="5" width="15.140625" bestFit="1" customWidth="1"/>
    <col min="6" max="6" width="15.85546875" bestFit="1" customWidth="1"/>
    <col min="7" max="7" width="15.85546875" style="49" customWidth="1"/>
    <col min="8" max="8" width="18.7109375" style="50" bestFit="1" customWidth="1"/>
    <col min="9" max="9" width="13.28515625" bestFit="1" customWidth="1"/>
  </cols>
  <sheetData>
    <row r="1" spans="1:11" ht="15.75" thickBot="1" x14ac:dyDescent="0.3">
      <c r="A1" s="80" t="str">
        <f>Basic_Data!A1</f>
        <v>Sr No</v>
      </c>
      <c r="B1" s="93" t="str">
        <f>Basic_Data!B1</f>
        <v>Assembly Name</v>
      </c>
      <c r="C1" s="56" t="str">
        <f>Basic_Data!E1</f>
        <v>Qty per Unit</v>
      </c>
      <c r="D1" s="56" t="s">
        <v>119</v>
      </c>
      <c r="E1" s="56" t="str">
        <f>Basic_Data!I1</f>
        <v>Target Unit Cost</v>
      </c>
      <c r="F1" s="56" t="s">
        <v>120</v>
      </c>
      <c r="G1" s="56" t="s">
        <v>126</v>
      </c>
      <c r="H1" s="56" t="s">
        <v>121</v>
      </c>
      <c r="I1" s="81" t="s">
        <v>122</v>
      </c>
      <c r="K1" s="51" t="s">
        <v>127</v>
      </c>
    </row>
    <row r="2" spans="1:11" ht="15.75" thickBot="1" x14ac:dyDescent="0.3">
      <c r="A2" s="42"/>
      <c r="B2" s="94"/>
      <c r="C2" s="43"/>
      <c r="D2" s="43"/>
      <c r="E2" s="43"/>
      <c r="F2" s="43"/>
      <c r="G2" s="43"/>
      <c r="H2" s="59"/>
      <c r="I2" s="44"/>
    </row>
    <row r="3" spans="1:11" x14ac:dyDescent="0.25">
      <c r="A3" s="60">
        <f>Basic_Data!A8</f>
        <v>5</v>
      </c>
      <c r="B3" s="95" t="str">
        <f>Basic_Data!B8</f>
        <v>H Bridge</v>
      </c>
      <c r="C3" s="61">
        <f>Basic_Data!E8</f>
        <v>1</v>
      </c>
      <c r="D3" s="61">
        <f t="shared" ref="D3:D11" si="0">Est_Std_Vol*12*C3</f>
        <v>6000</v>
      </c>
      <c r="E3" s="61">
        <f>Basic_Data!I8</f>
        <v>1500</v>
      </c>
      <c r="F3" s="61">
        <f t="shared" ref="F3:F11" si="1">E3*D3</f>
        <v>9000000</v>
      </c>
      <c r="G3" s="62">
        <f t="shared" ref="G3:G11" si="2">$F3/$F$13</f>
        <v>0.20188425302826379</v>
      </c>
      <c r="H3" s="63" t="s">
        <v>124</v>
      </c>
      <c r="I3" s="116">
        <f>SUMIFS(G3:G11,H3:H11,H3)</f>
        <v>0.78061911170928677</v>
      </c>
    </row>
    <row r="4" spans="1:11" x14ac:dyDescent="0.25">
      <c r="A4" s="64">
        <f>Basic_Data!A7</f>
        <v>4</v>
      </c>
      <c r="B4" s="96" t="str">
        <f>Basic_Data!B7</f>
        <v>Battery</v>
      </c>
      <c r="C4" s="65">
        <f>Basic_Data!E7</f>
        <v>1</v>
      </c>
      <c r="D4" s="65">
        <f t="shared" si="0"/>
        <v>6000</v>
      </c>
      <c r="E4" s="65">
        <f>Basic_Data!I7</f>
        <v>1200</v>
      </c>
      <c r="F4" s="65">
        <f t="shared" si="1"/>
        <v>7200000</v>
      </c>
      <c r="G4" s="66">
        <f t="shared" si="2"/>
        <v>0.16150740242261102</v>
      </c>
      <c r="H4" s="67" t="s">
        <v>124</v>
      </c>
      <c r="I4" s="117"/>
    </row>
    <row r="5" spans="1:11" x14ac:dyDescent="0.25">
      <c r="A5" s="64">
        <f>Basic_Data!A9</f>
        <v>6</v>
      </c>
      <c r="B5" s="96" t="str">
        <f>Basic_Data!B9</f>
        <v>Rectifier</v>
      </c>
      <c r="C5" s="65">
        <f>Basic_Data!E9</f>
        <v>1</v>
      </c>
      <c r="D5" s="65">
        <f t="shared" si="0"/>
        <v>6000</v>
      </c>
      <c r="E5" s="65">
        <f>Basic_Data!I9</f>
        <v>1100</v>
      </c>
      <c r="F5" s="65">
        <f t="shared" si="1"/>
        <v>6600000</v>
      </c>
      <c r="G5" s="66">
        <f t="shared" si="2"/>
        <v>0.1480484522207268</v>
      </c>
      <c r="H5" s="67" t="s">
        <v>124</v>
      </c>
      <c r="I5" s="117"/>
    </row>
    <row r="6" spans="1:11" ht="30" x14ac:dyDescent="0.25">
      <c r="A6" s="64">
        <f>Basic_Data!A11</f>
        <v>8</v>
      </c>
      <c r="B6" s="96" t="str">
        <f>Basic_Data!B11</f>
        <v>Regulator &amp; Control Assembly</v>
      </c>
      <c r="C6" s="65">
        <f>Basic_Data!E11</f>
        <v>1</v>
      </c>
      <c r="D6" s="65">
        <f t="shared" si="0"/>
        <v>6000</v>
      </c>
      <c r="E6" s="65">
        <f>Basic_Data!I11</f>
        <v>1100</v>
      </c>
      <c r="F6" s="65">
        <f t="shared" si="1"/>
        <v>6600000</v>
      </c>
      <c r="G6" s="66">
        <f t="shared" si="2"/>
        <v>0.1480484522207268</v>
      </c>
      <c r="H6" s="67" t="s">
        <v>124</v>
      </c>
      <c r="I6" s="117"/>
    </row>
    <row r="7" spans="1:11" ht="30" x14ac:dyDescent="0.25">
      <c r="A7" s="64">
        <f>Basic_Data!A12</f>
        <v>9</v>
      </c>
      <c r="B7" s="96" t="str">
        <f>Basic_Data!B12</f>
        <v>Basic User Controls Module</v>
      </c>
      <c r="C7" s="65">
        <f>Basic_Data!E12</f>
        <v>1</v>
      </c>
      <c r="D7" s="65">
        <f t="shared" si="0"/>
        <v>6000</v>
      </c>
      <c r="E7" s="65">
        <f>Basic_Data!I12</f>
        <v>900</v>
      </c>
      <c r="F7" s="65">
        <f t="shared" si="1"/>
        <v>5400000</v>
      </c>
      <c r="G7" s="66">
        <f t="shared" si="2"/>
        <v>0.12113055181695828</v>
      </c>
      <c r="H7" s="67" t="s">
        <v>124</v>
      </c>
      <c r="I7" s="117"/>
    </row>
    <row r="8" spans="1:11" x14ac:dyDescent="0.25">
      <c r="A8" s="68">
        <f>Basic_Data!A6</f>
        <v>3</v>
      </c>
      <c r="B8" s="97" t="str">
        <f>Basic_Data!B6</f>
        <v>Transformer2</v>
      </c>
      <c r="C8" s="69">
        <f>Basic_Data!E6</f>
        <v>1</v>
      </c>
      <c r="D8" s="69">
        <f t="shared" si="0"/>
        <v>6000</v>
      </c>
      <c r="E8" s="69">
        <f>Basic_Data!I6</f>
        <v>520</v>
      </c>
      <c r="F8" s="69">
        <f t="shared" si="1"/>
        <v>3120000</v>
      </c>
      <c r="G8" s="70">
        <f t="shared" si="2"/>
        <v>6.9986541049798109E-2</v>
      </c>
      <c r="H8" s="71" t="s">
        <v>125</v>
      </c>
      <c r="I8" s="118">
        <f>SUMIFS(G8:G16,H8:H16,H8)</f>
        <v>0.13930013458950202</v>
      </c>
    </row>
    <row r="9" spans="1:11" x14ac:dyDescent="0.25">
      <c r="A9" s="68">
        <f>Basic_Data!A5</f>
        <v>2</v>
      </c>
      <c r="B9" s="97" t="str">
        <f>Basic_Data!B5</f>
        <v>Transformer1</v>
      </c>
      <c r="C9" s="69">
        <f>Basic_Data!E5</f>
        <v>1</v>
      </c>
      <c r="D9" s="69">
        <f t="shared" si="0"/>
        <v>6000</v>
      </c>
      <c r="E9" s="69">
        <f>Basic_Data!I5</f>
        <v>515</v>
      </c>
      <c r="F9" s="69">
        <f t="shared" si="1"/>
        <v>3090000</v>
      </c>
      <c r="G9" s="70">
        <f t="shared" si="2"/>
        <v>6.9313593539703899E-2</v>
      </c>
      <c r="H9" s="71" t="s">
        <v>125</v>
      </c>
      <c r="I9" s="118"/>
    </row>
    <row r="10" spans="1:11" x14ac:dyDescent="0.25">
      <c r="A10" s="72">
        <f>Basic_Data!A10</f>
        <v>7</v>
      </c>
      <c r="B10" s="98" t="str">
        <f>Basic_Data!B10</f>
        <v>Filters</v>
      </c>
      <c r="C10" s="73">
        <f>Basic_Data!E10</f>
        <v>2</v>
      </c>
      <c r="D10" s="73">
        <f t="shared" si="0"/>
        <v>12000</v>
      </c>
      <c r="E10" s="73">
        <f>Basic_Data!I10</f>
        <v>150</v>
      </c>
      <c r="F10" s="73">
        <f t="shared" si="1"/>
        <v>1800000</v>
      </c>
      <c r="G10" s="74">
        <f t="shared" si="2"/>
        <v>4.0376850605652756E-2</v>
      </c>
      <c r="H10" s="75" t="s">
        <v>97</v>
      </c>
      <c r="I10" s="119">
        <f>SUMIFS(G10:G18,H10:H18,H10)</f>
        <v>8.0080753701211302E-2</v>
      </c>
    </row>
    <row r="11" spans="1:11" ht="30.75" thickBot="1" x14ac:dyDescent="0.3">
      <c r="A11" s="76">
        <f>Basic_Data!A4</f>
        <v>1</v>
      </c>
      <c r="B11" s="99" t="str">
        <f>Basic_Data!B4</f>
        <v>Enclosure + Accessories</v>
      </c>
      <c r="C11" s="77">
        <f>Basic_Data!E4</f>
        <v>1</v>
      </c>
      <c r="D11" s="77">
        <f t="shared" si="0"/>
        <v>6000</v>
      </c>
      <c r="E11" s="77">
        <f>Basic_Data!I4</f>
        <v>295</v>
      </c>
      <c r="F11" s="77">
        <f t="shared" si="1"/>
        <v>1770000</v>
      </c>
      <c r="G11" s="78">
        <f t="shared" si="2"/>
        <v>3.9703903095558546E-2</v>
      </c>
      <c r="H11" s="79" t="s">
        <v>97</v>
      </c>
      <c r="I11" s="120"/>
    </row>
    <row r="12" spans="1:11" ht="15.75" thickBot="1" x14ac:dyDescent="0.3">
      <c r="A12" s="42"/>
      <c r="B12" s="94"/>
      <c r="C12" s="43"/>
      <c r="D12" s="43"/>
      <c r="E12" s="43"/>
      <c r="F12" s="43"/>
      <c r="G12" s="43"/>
      <c r="H12" s="59"/>
      <c r="I12" s="44"/>
    </row>
    <row r="13" spans="1:11" ht="15.75" thickBot="1" x14ac:dyDescent="0.3">
      <c r="A13" s="52"/>
      <c r="B13" s="100" t="s">
        <v>62</v>
      </c>
      <c r="C13" s="53"/>
      <c r="D13" s="53"/>
      <c r="E13" s="53"/>
      <c r="F13" s="57">
        <f>SUM(F3:F12)</f>
        <v>44580000</v>
      </c>
      <c r="G13" s="58">
        <f>SUM(G3:G12)</f>
        <v>1</v>
      </c>
      <c r="H13" s="54"/>
      <c r="I13" s="55"/>
    </row>
    <row r="16" spans="1:11" x14ac:dyDescent="0.25">
      <c r="B16" s="101" t="str">
        <f>B1</f>
        <v>Assembly Name</v>
      </c>
      <c r="C16" t="str">
        <f>G1</f>
        <v>Cost Weight %</v>
      </c>
      <c r="D16" s="49" t="s">
        <v>133</v>
      </c>
    </row>
    <row r="17" spans="2:4" x14ac:dyDescent="0.25">
      <c r="B17" s="101" t="str">
        <f>B3</f>
        <v>H Bridge</v>
      </c>
      <c r="C17" s="92">
        <f>G3</f>
        <v>0.20188425302826379</v>
      </c>
      <c r="D17" s="92">
        <f>SUM($G$3:$G3)</f>
        <v>0.20188425302826379</v>
      </c>
    </row>
    <row r="18" spans="2:4" x14ac:dyDescent="0.25">
      <c r="B18" s="101" t="str">
        <f t="shared" ref="B18:B25" si="3">B4</f>
        <v>Battery</v>
      </c>
      <c r="C18" s="92">
        <f t="shared" ref="C18:C25" si="4">G4</f>
        <v>0.16150740242261102</v>
      </c>
      <c r="D18" s="92">
        <f>SUM($G$3:$G4)</f>
        <v>0.36339165545087482</v>
      </c>
    </row>
    <row r="19" spans="2:4" x14ac:dyDescent="0.25">
      <c r="B19" s="101" t="str">
        <f t="shared" si="3"/>
        <v>Rectifier</v>
      </c>
      <c r="C19" s="92">
        <f t="shared" si="4"/>
        <v>0.1480484522207268</v>
      </c>
      <c r="D19" s="92">
        <f>SUM($G$3:$G5)</f>
        <v>0.51144010767160164</v>
      </c>
    </row>
    <row r="20" spans="2:4" ht="30" x14ac:dyDescent="0.25">
      <c r="B20" s="101" t="str">
        <f t="shared" si="3"/>
        <v>Regulator &amp; Control Assembly</v>
      </c>
      <c r="C20" s="92">
        <f t="shared" si="4"/>
        <v>0.1480484522207268</v>
      </c>
      <c r="D20" s="92">
        <f>SUM($G$3:$G6)</f>
        <v>0.65948855989232846</v>
      </c>
    </row>
    <row r="21" spans="2:4" ht="30" x14ac:dyDescent="0.25">
      <c r="B21" s="101" t="str">
        <f t="shared" si="3"/>
        <v>Basic User Controls Module</v>
      </c>
      <c r="C21" s="92">
        <f t="shared" si="4"/>
        <v>0.12113055181695828</v>
      </c>
      <c r="D21" s="92">
        <f>SUM($G$3:$G7)</f>
        <v>0.78061911170928677</v>
      </c>
    </row>
    <row r="22" spans="2:4" x14ac:dyDescent="0.25">
      <c r="B22" s="101" t="str">
        <f t="shared" si="3"/>
        <v>Transformer2</v>
      </c>
      <c r="C22" s="92">
        <f t="shared" si="4"/>
        <v>6.9986541049798109E-2</v>
      </c>
      <c r="D22" s="92">
        <f>SUM($G$3:$G8)</f>
        <v>0.85060565275908484</v>
      </c>
    </row>
    <row r="23" spans="2:4" x14ac:dyDescent="0.25">
      <c r="B23" s="101" t="str">
        <f t="shared" si="3"/>
        <v>Transformer1</v>
      </c>
      <c r="C23" s="92">
        <f t="shared" si="4"/>
        <v>6.9313593539703899E-2</v>
      </c>
      <c r="D23" s="92">
        <f>SUM($G$3:$G9)</f>
        <v>0.91991924629878874</v>
      </c>
    </row>
    <row r="24" spans="2:4" x14ac:dyDescent="0.25">
      <c r="B24" s="101" t="str">
        <f>B10</f>
        <v>Filters</v>
      </c>
      <c r="C24" s="92">
        <f t="shared" si="4"/>
        <v>4.0376850605652756E-2</v>
      </c>
      <c r="D24" s="92">
        <f>SUM($G$3:$G10)</f>
        <v>0.96029609690444151</v>
      </c>
    </row>
    <row r="25" spans="2:4" ht="30" x14ac:dyDescent="0.25">
      <c r="B25" s="101" t="str">
        <f t="shared" si="3"/>
        <v>Enclosure + Accessories</v>
      </c>
      <c r="C25" s="92">
        <f t="shared" si="4"/>
        <v>3.9703903095558546E-2</v>
      </c>
      <c r="D25" s="92">
        <f>SUM($G$3:$G11)</f>
        <v>1</v>
      </c>
    </row>
    <row r="27" spans="2:4" x14ac:dyDescent="0.25">
      <c r="C27" s="92">
        <f>SUM(C17:C26)</f>
        <v>1</v>
      </c>
      <c r="D27" s="92"/>
    </row>
  </sheetData>
  <sortState ref="A3:I11">
    <sortCondition descending="1" ref="G3:G11"/>
  </sortState>
  <mergeCells count="3">
    <mergeCell ref="I3:I7"/>
    <mergeCell ref="I8:I9"/>
    <mergeCell ref="I10:I11"/>
  </mergeCells>
  <dataValidations count="1">
    <dataValidation type="list" allowBlank="1" showInputMessage="1" showErrorMessage="1" sqref="H3:H11">
      <formula1>ABC_Class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:D4"/>
    </sheetView>
  </sheetViews>
  <sheetFormatPr defaultRowHeight="15" x14ac:dyDescent="0.25"/>
  <cols>
    <col min="1" max="1" width="18.5703125" bestFit="1" customWidth="1"/>
    <col min="2" max="2" width="10.140625" bestFit="1" customWidth="1"/>
    <col min="3" max="3" width="19.140625" bestFit="1" customWidth="1"/>
    <col min="4" max="4" width="10" bestFit="1" customWidth="1"/>
  </cols>
  <sheetData>
    <row r="1" spans="1:4" x14ac:dyDescent="0.25">
      <c r="A1" s="2" t="s">
        <v>24</v>
      </c>
      <c r="B1" s="2" t="s">
        <v>30</v>
      </c>
      <c r="D1" s="2" t="s">
        <v>123</v>
      </c>
    </row>
    <row r="2" spans="1:4" x14ac:dyDescent="0.25">
      <c r="A2" t="s">
        <v>21</v>
      </c>
      <c r="B2" t="s">
        <v>31</v>
      </c>
      <c r="D2" t="s">
        <v>124</v>
      </c>
    </row>
    <row r="3" spans="1:4" x14ac:dyDescent="0.25">
      <c r="A3" t="s">
        <v>22</v>
      </c>
      <c r="B3" t="s">
        <v>32</v>
      </c>
      <c r="D3" t="s">
        <v>125</v>
      </c>
    </row>
    <row r="4" spans="1:4" x14ac:dyDescent="0.25">
      <c r="A4" t="s">
        <v>23</v>
      </c>
      <c r="D4" t="s">
        <v>97</v>
      </c>
    </row>
    <row r="6" spans="1:4" x14ac:dyDescent="0.25">
      <c r="A6" s="2" t="s">
        <v>51</v>
      </c>
      <c r="B6">
        <v>100</v>
      </c>
    </row>
    <row r="7" spans="1:4" x14ac:dyDescent="0.25">
      <c r="A7" s="2" t="s">
        <v>52</v>
      </c>
      <c r="B7">
        <v>500</v>
      </c>
    </row>
    <row r="9" spans="1:4" x14ac:dyDescent="0.25">
      <c r="A9" s="2" t="s">
        <v>56</v>
      </c>
      <c r="B9">
        <v>0.4</v>
      </c>
    </row>
    <row r="10" spans="1:4" x14ac:dyDescent="0.25">
      <c r="A10" s="2" t="s">
        <v>57</v>
      </c>
      <c r="B10">
        <v>0.33</v>
      </c>
    </row>
    <row r="11" spans="1:4" x14ac:dyDescent="0.25">
      <c r="A11" s="2" t="s">
        <v>58</v>
      </c>
      <c r="B11">
        <f>(1-B9-B10)</f>
        <v>0.26999999999999996</v>
      </c>
    </row>
    <row r="13" spans="1:4" x14ac:dyDescent="0.25">
      <c r="A13" s="2" t="s">
        <v>69</v>
      </c>
      <c r="B13">
        <v>0.02</v>
      </c>
    </row>
    <row r="14" spans="1:4" x14ac:dyDescent="0.25">
      <c r="A14" s="2" t="s">
        <v>70</v>
      </c>
      <c r="B14">
        <v>3.5000000000000003E-2</v>
      </c>
    </row>
    <row r="15" spans="1:4" x14ac:dyDescent="0.25">
      <c r="A15" s="2" t="s">
        <v>71</v>
      </c>
      <c r="B15" s="8">
        <v>3.5000000000000003E-2</v>
      </c>
    </row>
    <row r="17" spans="1:1" x14ac:dyDescent="0.25">
      <c r="A17" s="2" t="s">
        <v>72</v>
      </c>
    </row>
    <row r="18" spans="1:1" x14ac:dyDescent="0.25">
      <c r="A18" s="2" t="s">
        <v>73</v>
      </c>
    </row>
    <row r="19" spans="1:1" x14ac:dyDescent="0.25">
      <c r="A19" s="2" t="s">
        <v>74</v>
      </c>
    </row>
    <row r="21" spans="1:1" x14ac:dyDescent="0.25">
      <c r="A21" s="2" t="s">
        <v>64</v>
      </c>
    </row>
    <row r="22" spans="1:1" x14ac:dyDescent="0.25">
      <c r="A22" s="2" t="s">
        <v>65</v>
      </c>
    </row>
    <row r="23" spans="1:1" x14ac:dyDescent="0.25">
      <c r="A23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Basic_Data</vt:lpstr>
      <vt:lpstr>EOQ</vt:lpstr>
      <vt:lpstr>Suppliers_Comparative_Data</vt:lpstr>
      <vt:lpstr>EOQ_Sim</vt:lpstr>
      <vt:lpstr>ROP</vt:lpstr>
      <vt:lpstr>ABC_Analysis</vt:lpstr>
      <vt:lpstr>Constants</vt:lpstr>
      <vt:lpstr>ABC_Class</vt:lpstr>
      <vt:lpstr>Est_Prem_Vol</vt:lpstr>
      <vt:lpstr>Est_Std_Vol</vt:lpstr>
      <vt:lpstr>Make_Buy</vt:lpstr>
      <vt:lpstr>Model</vt:lpstr>
      <vt:lpstr>Supp1_S_Pct</vt:lpstr>
      <vt:lpstr>Supp1_wt</vt:lpstr>
      <vt:lpstr>Supp2_S_Pct</vt:lpstr>
      <vt:lpstr>Supp2_wt</vt:lpstr>
      <vt:lpstr>Supp3_S_Pct</vt:lpstr>
      <vt:lpstr>Supp3_wt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aditioak</dc:creator>
  <cp:lastModifiedBy>aditioak</cp:lastModifiedBy>
  <dcterms:created xsi:type="dcterms:W3CDTF">2022-03-27T10:06:58Z</dcterms:created>
  <dcterms:modified xsi:type="dcterms:W3CDTF">2022-05-12T16:06:14Z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2022-04-08T12:48:00Z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1527b731-fdec-4643-bba4-8c69bb97a978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